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제294회 제1차 정례회\안건 및 제2회추경(기금운용계획 변경)\추경\"/>
    </mc:Choice>
  </mc:AlternateContent>
  <xr:revisionPtr revIDLastSave="0" documentId="13_ncr:1_{79FD5F75-332F-49D7-8EC4-FF330232889B}" xr6:coauthVersionLast="36" xr6:coauthVersionMax="36" xr10:uidLastSave="{00000000-0000-0000-0000-000000000000}"/>
  <bookViews>
    <workbookView xWindow="-120" yWindow="-120" windowWidth="29040" windowHeight="15720" tabRatio="1000" firstSheet="9" activeTab="11" xr2:uid="{00000000-000D-0000-FFFF-FFFF00000000}"/>
  </bookViews>
  <sheets>
    <sheet name="(입력금지)총괄" sheetId="12" state="hidden" r:id="rId1"/>
    <sheet name="(입력금지)상임위별 종합심사결과(총괄)" sheetId="103" state="hidden" r:id="rId2"/>
    <sheet name="재정문화(기타특별-공유재산관리)" sheetId="81" state="hidden" r:id="rId3"/>
    <sheet name="재정문화세출(특별회계)" sheetId="65" state="hidden" r:id="rId4"/>
    <sheet name="행정복지(특별회계-상수도)" sheetId="66" state="hidden" r:id="rId5"/>
    <sheet name="행정복지(특별회계-하수도)" sheetId="67" state="hidden" r:id="rId6"/>
    <sheet name="행정복지(기타특별-공유재산관리)" sheetId="68" state="hidden" r:id="rId7"/>
    <sheet name="행정복지(기타특별-의료급여기금)" sheetId="84" state="hidden" r:id="rId8"/>
    <sheet name="행정복지(기타특별-기초생활보장" sheetId="83" state="hidden" r:id="rId9"/>
    <sheet name="(입력금지)상임위별 예비심사결과(총괄)" sheetId="146" r:id="rId10"/>
    <sheet name="1 일반회계(세입)" sheetId="154" state="hidden" r:id="rId11"/>
    <sheet name="2 일반회계(세출)" sheetId="134" r:id="rId12"/>
    <sheet name="행정복지세출(특별회계)" sheetId="109" state="hidden" r:id="rId13"/>
    <sheet name="도시교통(일반회계)" sheetId="73" state="hidden" r:id="rId14"/>
    <sheet name="도시교통(기타득별-공유재산관리)" sheetId="91" state="hidden" r:id="rId15"/>
    <sheet name="도시교통(기타득별-장기미집행)" sheetId="75" state="hidden" r:id="rId16"/>
    <sheet name="도시교통(기타득별-교통사업)" sheetId="85" state="hidden" r:id="rId17"/>
    <sheet name="도시교통(기타특별-철도건설)" sheetId="88" state="hidden" r:id="rId18"/>
    <sheet name="도시교통(기타득별-폐기물처리시설" sheetId="87" state="hidden" r:id="rId19"/>
    <sheet name="도시교통(기타득별-도시재정비)" sheetId="89" state="hidden" r:id="rId20"/>
    <sheet name="도시교통(기타득별-도시개발)" sheetId="90" state="hidden" r:id="rId21"/>
    <sheet name="도시교통(기타득별-기반시설)" sheetId="86" state="hidden" r:id="rId22"/>
    <sheet name="3 기타특별회계(세입)" sheetId="150" state="hidden" r:id="rId23"/>
    <sheet name="4 기타특별회계(세출)" sheetId="142" r:id="rId24"/>
    <sheet name="5 공기업특별회계(세입)" sheetId="151" state="hidden" r:id="rId25"/>
    <sheet name="6 공기업특별회계(세출)" sheetId="143" r:id="rId26"/>
    <sheet name="8 2026년 기금운영변경계획안" sheetId="144" r:id="rId27"/>
    <sheet name="2026 제2회 추경" sheetId="157" r:id="rId28"/>
  </sheets>
  <definedNames>
    <definedName name="_xlnm._FilterDatabase" localSheetId="10" hidden="1">'1 일반회계(세입)'!$A$4:$M$48</definedName>
    <definedName name="_xlnm._FilterDatabase" localSheetId="11" hidden="1">'2 일반회계(세출)'!$A$4:$M$39</definedName>
    <definedName name="_xlnm._FilterDatabase" localSheetId="22" hidden="1">'3 기타특별회계(세입)'!$A$4:$M$4</definedName>
    <definedName name="_xlnm._FilterDatabase" localSheetId="23" hidden="1">'4 기타특별회계(세출)'!$A$4:$M$13</definedName>
    <definedName name="_xlnm._FilterDatabase" localSheetId="24" hidden="1">'5 공기업특별회계(세입)'!$A$4:$M$13</definedName>
    <definedName name="_xlnm._FilterDatabase" localSheetId="25" hidden="1">'6 공기업특별회계(세출)'!$A$4:$M$13</definedName>
    <definedName name="_xlnm._FilterDatabase" localSheetId="26" hidden="1">'8 2026년 기금운영변경계획안'!$A$4:$M$12</definedName>
    <definedName name="_xlnm.Print_Area" localSheetId="9">'(입력금지)상임위별 예비심사결과(총괄)'!$A$1:$J$19</definedName>
    <definedName name="_xlnm.Print_Area" localSheetId="1">'(입력금지)상임위별 종합심사결과(총괄)'!$A$1:$J$19</definedName>
    <definedName name="_xlnm.Print_Area" localSheetId="0">'(입력금지)총괄'!$A$1:$K$22</definedName>
    <definedName name="_xlnm.Print_Area" localSheetId="10">'1 일반회계(세입)'!$A$1:$M$48</definedName>
    <definedName name="_xlnm.Print_Area" localSheetId="11">'2 일반회계(세출)'!$A$1:$M$39</definedName>
    <definedName name="_xlnm.Print_Area" localSheetId="22">'3 기타특별회계(세입)'!$A$1:$M$14</definedName>
    <definedName name="_xlnm.Print_Area" localSheetId="23">'4 기타특별회계(세출)'!$A$1:$M$13</definedName>
    <definedName name="_xlnm.Print_Area" localSheetId="24">'5 공기업특별회계(세입)'!$A$1:$M$13</definedName>
    <definedName name="_xlnm.Print_Area" localSheetId="25">'6 공기업특별회계(세출)'!$A$1:$M$13</definedName>
    <definedName name="_xlnm.Print_Area" localSheetId="26">'8 2026년 기금운영변경계획안'!$A$1:$M$12</definedName>
    <definedName name="_xlnm.Print_Titles" localSheetId="10">'1 일반회계(세입)'!$1:$4</definedName>
    <definedName name="_xlnm.Print_Titles" localSheetId="11">'2 일반회계(세출)'!$1:$4</definedName>
    <definedName name="_xlnm.Print_Titles" localSheetId="22">'3 기타특별회계(세입)'!$1:$4</definedName>
    <definedName name="_xlnm.Print_Titles" localSheetId="23">'4 기타특별회계(세출)'!$1:$4</definedName>
    <definedName name="_xlnm.Print_Titles" localSheetId="24">'5 공기업특별회계(세입)'!$1:$4</definedName>
    <definedName name="_xlnm.Print_Titles" localSheetId="25">'6 공기업특별회계(세출)'!$1:$4</definedName>
    <definedName name="_xlnm.Print_Titles" localSheetId="26">'8 2026년 기금운영변경계획안'!$1:$4</definedName>
    <definedName name="_xlnm.Print_Titles" localSheetId="14">'도시교통(기타득별-공유재산관리)'!$1:$3</definedName>
    <definedName name="_xlnm.Print_Titles" localSheetId="16">'도시교통(기타득별-교통사업)'!$1:$3</definedName>
    <definedName name="_xlnm.Print_Titles" localSheetId="21">'도시교통(기타득별-기반시설)'!$1:$3</definedName>
    <definedName name="_xlnm.Print_Titles" localSheetId="20">'도시교통(기타득별-도시개발)'!$1:$3</definedName>
    <definedName name="_xlnm.Print_Titles" localSheetId="19">'도시교통(기타득별-도시재정비)'!$1:$3</definedName>
    <definedName name="_xlnm.Print_Titles" localSheetId="15">'도시교통(기타득별-장기미집행)'!$1:$3</definedName>
    <definedName name="_xlnm.Print_Titles" localSheetId="18">'도시교통(기타득별-폐기물처리시설'!$1:$3</definedName>
    <definedName name="_xlnm.Print_Titles" localSheetId="17">'도시교통(기타특별-철도건설)'!$1:$3</definedName>
    <definedName name="_xlnm.Print_Titles" localSheetId="13">'도시교통(일반회계)'!$1:$3</definedName>
    <definedName name="_xlnm.Print_Titles" localSheetId="2">'재정문화(기타특별-공유재산관리)'!$1:$3</definedName>
    <definedName name="_xlnm.Print_Titles" localSheetId="3">'재정문화세출(특별회계)'!$2:$4</definedName>
    <definedName name="_xlnm.Print_Titles" localSheetId="6">'행정복지(기타특별-공유재산관리)'!$1:$4</definedName>
    <definedName name="_xlnm.Print_Titles" localSheetId="8">'행정복지(기타특별-기초생활보장'!$1:$4</definedName>
    <definedName name="_xlnm.Print_Titles" localSheetId="7">'행정복지(기타특별-의료급여기금)'!$1:$4</definedName>
    <definedName name="_xlnm.Print_Titles" localSheetId="4">'행정복지(특별회계-상수도)'!$1:$3</definedName>
    <definedName name="_xlnm.Print_Titles" localSheetId="5">'행정복지(특별회계-하수도)'!$1:$3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22" i="157" l="1"/>
  <c r="P19" i="157"/>
  <c r="O19" i="157"/>
  <c r="P18" i="157"/>
  <c r="O18" i="157"/>
  <c r="P17" i="157"/>
  <c r="O17" i="157"/>
  <c r="N16" i="157"/>
  <c r="M16" i="157"/>
  <c r="J8" i="157" s="1"/>
  <c r="L16" i="157"/>
  <c r="P16" i="157" s="1"/>
  <c r="K16" i="157"/>
  <c r="I9" i="157" s="1"/>
  <c r="J16" i="157"/>
  <c r="I16" i="157"/>
  <c r="J11" i="157"/>
  <c r="C18" i="146" s="1"/>
  <c r="J10" i="157"/>
  <c r="C19" i="146" s="1"/>
  <c r="K9" i="157"/>
  <c r="K8" i="157"/>
  <c r="I8" i="157"/>
  <c r="C14" i="146" s="1"/>
  <c r="K7" i="157"/>
  <c r="J7" i="157"/>
  <c r="C12" i="146" s="1"/>
  <c r="I7" i="157"/>
  <c r="F7" i="157"/>
  <c r="F5" i="157" s="1"/>
  <c r="E7" i="157"/>
  <c r="E5" i="157" s="1"/>
  <c r="D7" i="157"/>
  <c r="D5" i="157" s="1"/>
  <c r="K6" i="157"/>
  <c r="J6" i="157"/>
  <c r="M6" i="157" s="1"/>
  <c r="I6" i="157"/>
  <c r="C9" i="146" s="1"/>
  <c r="C17" i="146" l="1"/>
  <c r="O16" i="157"/>
  <c r="J9" i="157"/>
  <c r="J12" i="157" s="1"/>
  <c r="K5" i="157"/>
  <c r="M7" i="157"/>
  <c r="C11" i="146"/>
  <c r="M8" i="157"/>
  <c r="C15" i="146"/>
  <c r="I5" i="157"/>
  <c r="M5" i="157" s="1"/>
  <c r="J5" i="157"/>
  <c r="M9" i="157" l="1"/>
  <c r="L12" i="142"/>
  <c r="I12" i="142"/>
  <c r="H13" i="12"/>
  <c r="G13" i="12"/>
  <c r="E22" i="12"/>
  <c r="E21" i="12"/>
  <c r="E20" i="12"/>
  <c r="E18" i="12"/>
  <c r="E19" i="12"/>
  <c r="E17" i="12"/>
  <c r="E16" i="12"/>
  <c r="E15" i="12"/>
  <c r="E14" i="12"/>
  <c r="E13" i="12"/>
  <c r="E12" i="12"/>
  <c r="E10" i="12"/>
  <c r="E9" i="12"/>
  <c r="E11" i="12" l="1"/>
  <c r="E8" i="12"/>
  <c r="E7" i="12" l="1"/>
  <c r="H19" i="103" l="1"/>
  <c r="H18" i="103"/>
  <c r="H17" i="103"/>
  <c r="G19" i="103"/>
  <c r="G18" i="103"/>
  <c r="G17" i="103"/>
  <c r="G15" i="103"/>
  <c r="H15" i="103"/>
  <c r="H14" i="103"/>
  <c r="H12" i="103"/>
  <c r="H11" i="103"/>
  <c r="H9" i="103"/>
  <c r="G9" i="103"/>
  <c r="G14" i="103"/>
  <c r="G12" i="103"/>
  <c r="G11" i="103"/>
  <c r="H19" i="146"/>
  <c r="G19" i="146"/>
  <c r="H15" i="146"/>
  <c r="G15" i="146"/>
  <c r="G12" i="146"/>
  <c r="H12" i="146"/>
  <c r="H14" i="146"/>
  <c r="G14" i="146"/>
  <c r="H9" i="146"/>
  <c r="G9" i="146"/>
  <c r="D19" i="103"/>
  <c r="D18" i="103"/>
  <c r="D15" i="103"/>
  <c r="D12" i="103"/>
  <c r="L48" i="154"/>
  <c r="I48" i="154"/>
  <c r="L47" i="154"/>
  <c r="I47" i="154"/>
  <c r="L46" i="154"/>
  <c r="I46" i="154"/>
  <c r="L45" i="154"/>
  <c r="I45" i="154"/>
  <c r="L44" i="154"/>
  <c r="I44" i="154"/>
  <c r="L43" i="154"/>
  <c r="I43" i="154"/>
  <c r="L42" i="154"/>
  <c r="I42" i="154"/>
  <c r="L41" i="154"/>
  <c r="I41" i="154"/>
  <c r="L40" i="154"/>
  <c r="I40" i="154"/>
  <c r="L39" i="154"/>
  <c r="I39" i="154"/>
  <c r="L38" i="154"/>
  <c r="K38" i="154"/>
  <c r="H38" i="154"/>
  <c r="D17" i="103" s="1"/>
  <c r="G38" i="154"/>
  <c r="L37" i="154"/>
  <c r="I37" i="154"/>
  <c r="L36" i="154"/>
  <c r="I36" i="154"/>
  <c r="L35" i="154"/>
  <c r="I35" i="154"/>
  <c r="L34" i="154"/>
  <c r="I34" i="154"/>
  <c r="L33" i="154"/>
  <c r="I33" i="154"/>
  <c r="L32" i="154"/>
  <c r="I32" i="154"/>
  <c r="L31" i="154"/>
  <c r="I31" i="154"/>
  <c r="L30" i="154"/>
  <c r="I30" i="154"/>
  <c r="L29" i="154"/>
  <c r="I29" i="154"/>
  <c r="L28" i="154"/>
  <c r="I28" i="154"/>
  <c r="K27" i="154"/>
  <c r="H27" i="154"/>
  <c r="D14" i="146" s="1"/>
  <c r="G27" i="154"/>
  <c r="L26" i="154"/>
  <c r="I26" i="154"/>
  <c r="L25" i="154"/>
  <c r="I25" i="154"/>
  <c r="L24" i="154"/>
  <c r="I24" i="154"/>
  <c r="L23" i="154"/>
  <c r="I23" i="154"/>
  <c r="L22" i="154"/>
  <c r="I22" i="154"/>
  <c r="L21" i="154"/>
  <c r="I21" i="154"/>
  <c r="L20" i="154"/>
  <c r="I20" i="154"/>
  <c r="L19" i="154"/>
  <c r="I19" i="154"/>
  <c r="L18" i="154"/>
  <c r="I18" i="154"/>
  <c r="L17" i="154"/>
  <c r="I17" i="154"/>
  <c r="K16" i="154"/>
  <c r="H16" i="154"/>
  <c r="D11" i="103" s="1"/>
  <c r="G16" i="154"/>
  <c r="L15" i="154"/>
  <c r="I15" i="154"/>
  <c r="L14" i="154"/>
  <c r="I14" i="154"/>
  <c r="L13" i="154"/>
  <c r="I13" i="154"/>
  <c r="L12" i="154"/>
  <c r="I12" i="154"/>
  <c r="L11" i="154"/>
  <c r="I11" i="154"/>
  <c r="L10" i="154"/>
  <c r="I10" i="154"/>
  <c r="L9" i="154"/>
  <c r="I9" i="154"/>
  <c r="L8" i="154"/>
  <c r="I8" i="154"/>
  <c r="L7" i="154"/>
  <c r="I7" i="154"/>
  <c r="K6" i="154"/>
  <c r="H6" i="154"/>
  <c r="D9" i="103" s="1"/>
  <c r="G6" i="154"/>
  <c r="L21" i="134"/>
  <c r="I21" i="134"/>
  <c r="K6" i="134"/>
  <c r="H6" i="134"/>
  <c r="G6" i="134"/>
  <c r="L14" i="150"/>
  <c r="I14" i="150"/>
  <c r="L13" i="150"/>
  <c r="I13" i="150"/>
  <c r="I12" i="150" s="1"/>
  <c r="K12" i="150"/>
  <c r="H12" i="150"/>
  <c r="G12" i="150"/>
  <c r="L11" i="150"/>
  <c r="I11" i="150"/>
  <c r="L10" i="150"/>
  <c r="L9" i="150" s="1"/>
  <c r="I10" i="150"/>
  <c r="K9" i="150"/>
  <c r="H9" i="150"/>
  <c r="G9" i="150"/>
  <c r="L8" i="150"/>
  <c r="I8" i="150"/>
  <c r="L7" i="150"/>
  <c r="I7" i="150"/>
  <c r="K6" i="150"/>
  <c r="H6" i="150"/>
  <c r="H5" i="150" s="1"/>
  <c r="G6" i="150"/>
  <c r="G5" i="150" s="1"/>
  <c r="K6" i="142"/>
  <c r="H6" i="142"/>
  <c r="G6" i="142"/>
  <c r="H8" i="144"/>
  <c r="K6" i="144"/>
  <c r="H6" i="144"/>
  <c r="G6" i="144"/>
  <c r="L12" i="144"/>
  <c r="I12" i="144"/>
  <c r="L9" i="144"/>
  <c r="I9" i="144"/>
  <c r="K5" i="150" l="1"/>
  <c r="I38" i="154"/>
  <c r="L16" i="154"/>
  <c r="L27" i="154"/>
  <c r="L12" i="150"/>
  <c r="I9" i="150"/>
  <c r="I6" i="150"/>
  <c r="I5" i="150" s="1"/>
  <c r="L6" i="150"/>
  <c r="L5" i="150" s="1"/>
  <c r="I9" i="103"/>
  <c r="I27" i="154"/>
  <c r="I16" i="154"/>
  <c r="I19" i="103"/>
  <c r="I18" i="103"/>
  <c r="I17" i="103"/>
  <c r="I15" i="103"/>
  <c r="I14" i="103"/>
  <c r="I12" i="103"/>
  <c r="I11" i="103"/>
  <c r="D16" i="103"/>
  <c r="D10" i="103"/>
  <c r="I12" i="146"/>
  <c r="I14" i="146"/>
  <c r="I9" i="146"/>
  <c r="G5" i="154"/>
  <c r="D17" i="146"/>
  <c r="D9" i="146"/>
  <c r="D14" i="103"/>
  <c r="D13" i="103" s="1"/>
  <c r="D11" i="146"/>
  <c r="I6" i="154"/>
  <c r="L6" i="154"/>
  <c r="L5" i="154" s="1"/>
  <c r="H5" i="154"/>
  <c r="K5" i="154"/>
  <c r="E6" i="12" s="1"/>
  <c r="E5" i="12" s="1"/>
  <c r="I5" i="154" l="1"/>
  <c r="F18" i="146"/>
  <c r="F19" i="146"/>
  <c r="F17" i="146"/>
  <c r="F15" i="146"/>
  <c r="F14" i="146"/>
  <c r="F9" i="146"/>
  <c r="F12" i="146"/>
  <c r="F11" i="146"/>
  <c r="F9" i="103"/>
  <c r="F18" i="103"/>
  <c r="F19" i="103"/>
  <c r="F17" i="103"/>
  <c r="F15" i="103"/>
  <c r="F14" i="103"/>
  <c r="F12" i="103"/>
  <c r="F11" i="103"/>
  <c r="E11" i="103"/>
  <c r="D18" i="146"/>
  <c r="D19" i="146"/>
  <c r="D15" i="146"/>
  <c r="D12" i="146"/>
  <c r="E12" i="146" s="1"/>
  <c r="E17" i="146"/>
  <c r="E14" i="146"/>
  <c r="E11" i="146"/>
  <c r="L13" i="151" l="1"/>
  <c r="I13" i="151"/>
  <c r="L12" i="151"/>
  <c r="I12" i="151"/>
  <c r="L11" i="151"/>
  <c r="I11" i="151"/>
  <c r="I10" i="151" s="1"/>
  <c r="K10" i="151"/>
  <c r="H10" i="151"/>
  <c r="G10" i="151"/>
  <c r="L9" i="151"/>
  <c r="I9" i="151"/>
  <c r="L8" i="151"/>
  <c r="I8" i="151"/>
  <c r="L7" i="151"/>
  <c r="I7" i="151"/>
  <c r="K6" i="151"/>
  <c r="H6" i="151"/>
  <c r="G6" i="151"/>
  <c r="K5" i="151" l="1"/>
  <c r="L10" i="151"/>
  <c r="I6" i="151"/>
  <c r="I5" i="151" s="1"/>
  <c r="H5" i="151"/>
  <c r="L6" i="151"/>
  <c r="G5" i="151"/>
  <c r="K10" i="144"/>
  <c r="K8" i="144"/>
  <c r="H10" i="144"/>
  <c r="G10" i="144"/>
  <c r="G8" i="144"/>
  <c r="L7" i="142"/>
  <c r="I7" i="142"/>
  <c r="L5" i="151" l="1"/>
  <c r="K10" i="142"/>
  <c r="K8" i="142"/>
  <c r="K5" i="142" s="1"/>
  <c r="H10" i="142"/>
  <c r="H8" i="142"/>
  <c r="G10" i="142"/>
  <c r="G8" i="142"/>
  <c r="G5" i="142" s="1"/>
  <c r="H5" i="142" l="1"/>
  <c r="L15" i="134"/>
  <c r="I15" i="134"/>
  <c r="L14" i="134"/>
  <c r="I14" i="134"/>
  <c r="L13" i="134"/>
  <c r="I13" i="134"/>
  <c r="L12" i="134"/>
  <c r="I12" i="134"/>
  <c r="L11" i="134"/>
  <c r="I11" i="134"/>
  <c r="L10" i="134"/>
  <c r="I10" i="134"/>
  <c r="L9" i="134"/>
  <c r="I9" i="134"/>
  <c r="L8" i="134"/>
  <c r="I8" i="134"/>
  <c r="L7" i="134"/>
  <c r="L6" i="134" s="1"/>
  <c r="I7" i="134"/>
  <c r="I6" i="134" s="1"/>
  <c r="L13" i="142" l="1"/>
  <c r="I13" i="142"/>
  <c r="L11" i="142"/>
  <c r="I11" i="142"/>
  <c r="I10" i="142" l="1"/>
  <c r="L10" i="142"/>
  <c r="H18" i="146" l="1"/>
  <c r="H7" i="146" s="1"/>
  <c r="H17" i="146"/>
  <c r="H11" i="146"/>
  <c r="G18" i="146"/>
  <c r="G7" i="146" s="1"/>
  <c r="G17" i="146"/>
  <c r="G11" i="146"/>
  <c r="E19" i="146"/>
  <c r="E18" i="146"/>
  <c r="D16" i="146"/>
  <c r="F16" i="146"/>
  <c r="C16" i="146"/>
  <c r="D8" i="146"/>
  <c r="F13" i="146"/>
  <c r="C13" i="146"/>
  <c r="F10" i="146"/>
  <c r="D10" i="146"/>
  <c r="C10" i="146"/>
  <c r="M9" i="146"/>
  <c r="E9" i="146"/>
  <c r="F8" i="146"/>
  <c r="C8" i="146"/>
  <c r="F7" i="146"/>
  <c r="D7" i="146"/>
  <c r="C7" i="146"/>
  <c r="F6" i="146"/>
  <c r="D6" i="146"/>
  <c r="C6" i="146"/>
  <c r="H22" i="12"/>
  <c r="H21" i="12"/>
  <c r="H20" i="12"/>
  <c r="H18" i="12"/>
  <c r="H17" i="12"/>
  <c r="H16" i="12"/>
  <c r="H15" i="12"/>
  <c r="H14" i="12"/>
  <c r="H12" i="12"/>
  <c r="G22" i="12"/>
  <c r="G21" i="12"/>
  <c r="G20" i="12"/>
  <c r="G18" i="12"/>
  <c r="G17" i="12"/>
  <c r="G16" i="12"/>
  <c r="G15" i="12"/>
  <c r="G14" i="12"/>
  <c r="G12" i="12"/>
  <c r="H10" i="12"/>
  <c r="H9" i="12"/>
  <c r="G10" i="12"/>
  <c r="G9" i="12"/>
  <c r="E7" i="146" l="1"/>
  <c r="F5" i="146"/>
  <c r="E10" i="146"/>
  <c r="E6" i="146"/>
  <c r="E8" i="146"/>
  <c r="H13" i="146"/>
  <c r="I17" i="146"/>
  <c r="M17" i="146" s="1"/>
  <c r="I15" i="146"/>
  <c r="J15" i="146" s="1"/>
  <c r="H6" i="146"/>
  <c r="H8" i="146"/>
  <c r="D5" i="146"/>
  <c r="G16" i="146"/>
  <c r="I18" i="146"/>
  <c r="I7" i="146" s="1"/>
  <c r="M7" i="146" s="1"/>
  <c r="C5" i="146"/>
  <c r="J9" i="146"/>
  <c r="K9" i="146" s="1"/>
  <c r="D13" i="146"/>
  <c r="I19" i="146"/>
  <c r="J19" i="146" s="1"/>
  <c r="K19" i="146" s="1"/>
  <c r="E15" i="146"/>
  <c r="E13" i="146" s="1"/>
  <c r="H16" i="146"/>
  <c r="G10" i="146"/>
  <c r="J14" i="146"/>
  <c r="G8" i="146"/>
  <c r="I11" i="146"/>
  <c r="G6" i="146"/>
  <c r="H10" i="146"/>
  <c r="G13" i="146"/>
  <c r="I8" i="146" l="1"/>
  <c r="M8" i="146" s="1"/>
  <c r="E5" i="146"/>
  <c r="K15" i="146"/>
  <c r="J17" i="146"/>
  <c r="K17" i="146" s="1"/>
  <c r="M19" i="146"/>
  <c r="I13" i="146"/>
  <c r="M13" i="146" s="1"/>
  <c r="J13" i="146"/>
  <c r="K13" i="146" s="1"/>
  <c r="M15" i="146"/>
  <c r="H5" i="146"/>
  <c r="M18" i="146"/>
  <c r="K14" i="146"/>
  <c r="M14" i="146"/>
  <c r="I10" i="146"/>
  <c r="M10" i="146" s="1"/>
  <c r="I6" i="146"/>
  <c r="J12" i="146"/>
  <c r="M12" i="146"/>
  <c r="M11" i="146"/>
  <c r="E16" i="146"/>
  <c r="J11" i="146"/>
  <c r="I16" i="146"/>
  <c r="M16" i="146" s="1"/>
  <c r="G5" i="146"/>
  <c r="J18" i="146"/>
  <c r="J16" i="146" l="1"/>
  <c r="K16" i="146" s="1"/>
  <c r="I5" i="146"/>
  <c r="M5" i="146" s="1"/>
  <c r="M6" i="146"/>
  <c r="J8" i="146"/>
  <c r="K8" i="146" s="1"/>
  <c r="K12" i="146"/>
  <c r="J7" i="146"/>
  <c r="K7" i="146" s="1"/>
  <c r="K18" i="146"/>
  <c r="J6" i="146"/>
  <c r="J10" i="146"/>
  <c r="K10" i="146" s="1"/>
  <c r="K11" i="146"/>
  <c r="J5" i="146" l="1"/>
  <c r="K5" i="146" s="1"/>
  <c r="K6" i="146"/>
  <c r="L11" i="144" l="1"/>
  <c r="L10" i="144" s="1"/>
  <c r="I11" i="144"/>
  <c r="L7" i="144"/>
  <c r="L6" i="144" s="1"/>
  <c r="I7" i="144"/>
  <c r="I6" i="144" s="1"/>
  <c r="L13" i="143"/>
  <c r="I13" i="143"/>
  <c r="L12" i="143"/>
  <c r="I12" i="143"/>
  <c r="L11" i="143"/>
  <c r="I11" i="143"/>
  <c r="K10" i="143"/>
  <c r="I10" i="143"/>
  <c r="H10" i="143"/>
  <c r="G10" i="143"/>
  <c r="L9" i="143"/>
  <c r="I9" i="143"/>
  <c r="L8" i="143"/>
  <c r="I8" i="143"/>
  <c r="L7" i="143"/>
  <c r="L6" i="143" s="1"/>
  <c r="I7" i="143"/>
  <c r="K6" i="143"/>
  <c r="H6" i="143"/>
  <c r="G6" i="143"/>
  <c r="L9" i="142"/>
  <c r="I9" i="142"/>
  <c r="L6" i="142"/>
  <c r="I6" i="142"/>
  <c r="I10" i="144" l="1"/>
  <c r="I5" i="142"/>
  <c r="I8" i="144"/>
  <c r="I8" i="142"/>
  <c r="L8" i="142"/>
  <c r="L5" i="142" s="1"/>
  <c r="L10" i="143"/>
  <c r="L5" i="143" s="1"/>
  <c r="L8" i="144"/>
  <c r="K5" i="143"/>
  <c r="I6" i="143"/>
  <c r="I5" i="143" s="1"/>
  <c r="H5" i="144"/>
  <c r="G5" i="144"/>
  <c r="K5" i="144"/>
  <c r="G5" i="143"/>
  <c r="H5" i="143"/>
  <c r="I5" i="144" l="1"/>
  <c r="L5" i="144"/>
  <c r="I39" i="134" l="1"/>
  <c r="I29" i="134"/>
  <c r="I30" i="134"/>
  <c r="I31" i="134"/>
  <c r="I32" i="134"/>
  <c r="I33" i="134"/>
  <c r="I34" i="134"/>
  <c r="I35" i="134"/>
  <c r="I36" i="134"/>
  <c r="I37" i="134"/>
  <c r="I28" i="134"/>
  <c r="I18" i="134"/>
  <c r="I19" i="134"/>
  <c r="I20" i="134"/>
  <c r="I22" i="134"/>
  <c r="I23" i="134"/>
  <c r="I24" i="134"/>
  <c r="I25" i="134"/>
  <c r="I26" i="134"/>
  <c r="I17" i="134"/>
  <c r="L39" i="134"/>
  <c r="L29" i="134"/>
  <c r="L30" i="134"/>
  <c r="L31" i="134"/>
  <c r="L32" i="134"/>
  <c r="L33" i="134"/>
  <c r="L34" i="134"/>
  <c r="L35" i="134"/>
  <c r="L36" i="134"/>
  <c r="L37" i="134"/>
  <c r="L28" i="134"/>
  <c r="L18" i="134"/>
  <c r="L19" i="134"/>
  <c r="L20" i="134"/>
  <c r="L22" i="134"/>
  <c r="L23" i="134"/>
  <c r="L24" i="134"/>
  <c r="L25" i="134"/>
  <c r="L26" i="134"/>
  <c r="L17" i="134"/>
  <c r="K38" i="134"/>
  <c r="K27" i="134"/>
  <c r="K16" i="134"/>
  <c r="I16" i="134" l="1"/>
  <c r="I38" i="134"/>
  <c r="I27" i="134"/>
  <c r="K5" i="134"/>
  <c r="I5" i="134" l="1"/>
  <c r="H38" i="134" l="1"/>
  <c r="G38" i="134"/>
  <c r="H27" i="134"/>
  <c r="G27" i="134"/>
  <c r="H16" i="134"/>
  <c r="G16" i="134"/>
  <c r="G5" i="134" l="1"/>
  <c r="H5" i="134"/>
  <c r="I13" i="12"/>
  <c r="K13" i="12" s="1"/>
  <c r="I19" i="12"/>
  <c r="M9" i="103"/>
  <c r="J19" i="12" l="1"/>
  <c r="K19" i="12"/>
  <c r="L38" i="134"/>
  <c r="L27" i="134"/>
  <c r="L16" i="134"/>
  <c r="I9" i="12"/>
  <c r="M11" i="103"/>
  <c r="J13" i="12"/>
  <c r="I16" i="12"/>
  <c r="I10" i="12"/>
  <c r="I21" i="12"/>
  <c r="I20" i="12"/>
  <c r="I22" i="12"/>
  <c r="I15" i="12"/>
  <c r="I14" i="12"/>
  <c r="I17" i="12"/>
  <c r="I12" i="12"/>
  <c r="M12" i="103"/>
  <c r="J15" i="12" l="1"/>
  <c r="K15" i="12"/>
  <c r="J22" i="12"/>
  <c r="K22" i="12"/>
  <c r="J20" i="12"/>
  <c r="K20" i="12"/>
  <c r="J17" i="12"/>
  <c r="K17" i="12"/>
  <c r="J12" i="12"/>
  <c r="K12" i="12"/>
  <c r="J21" i="12"/>
  <c r="K21" i="12"/>
  <c r="J14" i="12"/>
  <c r="K14" i="12"/>
  <c r="J16" i="12"/>
  <c r="K16" i="12"/>
  <c r="J9" i="12"/>
  <c r="K9" i="12"/>
  <c r="J10" i="12"/>
  <c r="K10" i="12"/>
  <c r="J17" i="103"/>
  <c r="M17" i="103"/>
  <c r="J14" i="103"/>
  <c r="M14" i="103"/>
  <c r="J15" i="103"/>
  <c r="M15" i="103"/>
  <c r="J19" i="103"/>
  <c r="M19" i="103"/>
  <c r="I18" i="12"/>
  <c r="L5" i="134"/>
  <c r="I6" i="103"/>
  <c r="J11" i="103"/>
  <c r="I8" i="103"/>
  <c r="J12" i="103"/>
  <c r="H8" i="103"/>
  <c r="G8" i="103"/>
  <c r="G8" i="12"/>
  <c r="L8" i="12"/>
  <c r="L11" i="12"/>
  <c r="L5" i="12" s="1"/>
  <c r="J18" i="12" l="1"/>
  <c r="K18" i="12"/>
  <c r="J13" i="103"/>
  <c r="M8" i="103"/>
  <c r="J10" i="103"/>
  <c r="G6" i="103"/>
  <c r="H6" i="103"/>
  <c r="H6" i="12" s="1"/>
  <c r="M10" i="12"/>
  <c r="M9" i="12"/>
  <c r="G6" i="12" l="1"/>
  <c r="I6" i="12" s="1"/>
  <c r="M6" i="103"/>
  <c r="I8" i="12"/>
  <c r="J6" i="12" l="1"/>
  <c r="K6" i="12"/>
  <c r="M8" i="12"/>
  <c r="M18" i="12"/>
  <c r="M19" i="12"/>
  <c r="M20" i="12"/>
  <c r="M21" i="12"/>
  <c r="M22" i="12"/>
  <c r="C13" i="103" l="1"/>
  <c r="F13" i="12" l="1"/>
  <c r="F14" i="12"/>
  <c r="F15" i="12"/>
  <c r="F16" i="12"/>
  <c r="F17" i="12"/>
  <c r="F18" i="12"/>
  <c r="F19" i="12"/>
  <c r="F20" i="12"/>
  <c r="F21" i="12"/>
  <c r="F22" i="12"/>
  <c r="F12" i="12"/>
  <c r="F10" i="12"/>
  <c r="F9" i="12"/>
  <c r="D11" i="12" l="1"/>
  <c r="D8" i="12"/>
  <c r="K8" i="12" s="1"/>
  <c r="F11" i="12" l="1"/>
  <c r="D7" i="12"/>
  <c r="H13" i="103"/>
  <c r="H10" i="103"/>
  <c r="F8" i="103" l="1"/>
  <c r="F7" i="103"/>
  <c r="F6" i="103"/>
  <c r="F16" i="103"/>
  <c r="F13" i="103"/>
  <c r="F10" i="103"/>
  <c r="E18" i="103"/>
  <c r="F5" i="103" l="1"/>
  <c r="D7" i="103"/>
  <c r="E9" i="103" l="1"/>
  <c r="C6" i="103"/>
  <c r="C7" i="103"/>
  <c r="E7" i="103" s="1"/>
  <c r="C8" i="103"/>
  <c r="C16" i="103"/>
  <c r="C10" i="103"/>
  <c r="C5" i="103" l="1"/>
  <c r="E19" i="103" l="1"/>
  <c r="K19" i="103" s="1"/>
  <c r="E15" i="103"/>
  <c r="K15" i="103" s="1"/>
  <c r="E12" i="103" l="1"/>
  <c r="K12" i="103" s="1"/>
  <c r="D8" i="103"/>
  <c r="E8" i="103" l="1"/>
  <c r="J9" i="103"/>
  <c r="K9" i="103" s="1"/>
  <c r="H11" i="12" l="1"/>
  <c r="E4" i="86"/>
  <c r="G6" i="86"/>
  <c r="G7" i="86"/>
  <c r="G8" i="86"/>
  <c r="G9" i="86"/>
  <c r="G10" i="86"/>
  <c r="E4" i="90"/>
  <c r="G6" i="90"/>
  <c r="G7" i="90"/>
  <c r="G8" i="90"/>
  <c r="G9" i="90"/>
  <c r="G10" i="90"/>
  <c r="E4" i="89"/>
  <c r="G6" i="89"/>
  <c r="G7" i="89"/>
  <c r="G8" i="89"/>
  <c r="G9" i="89"/>
  <c r="G10" i="89"/>
  <c r="E4" i="87"/>
  <c r="G6" i="87"/>
  <c r="G7" i="87"/>
  <c r="G8" i="87"/>
  <c r="G9" i="87"/>
  <c r="G10" i="87"/>
  <c r="E4" i="88"/>
  <c r="G6" i="88"/>
  <c r="G7" i="88"/>
  <c r="G8" i="88"/>
  <c r="G9" i="88"/>
  <c r="G10" i="88"/>
  <c r="E4" i="85"/>
  <c r="G6" i="85"/>
  <c r="G7" i="85"/>
  <c r="G8" i="85"/>
  <c r="G9" i="85"/>
  <c r="G10" i="85"/>
  <c r="E4" i="75"/>
  <c r="G6" i="75"/>
  <c r="G7" i="75"/>
  <c r="G8" i="75"/>
  <c r="G9" i="75"/>
  <c r="G10" i="75"/>
  <c r="E4" i="91"/>
  <c r="G6" i="91"/>
  <c r="G7" i="91"/>
  <c r="G8" i="91"/>
  <c r="G9" i="91"/>
  <c r="G10" i="91"/>
  <c r="E4" i="73"/>
  <c r="G6" i="73"/>
  <c r="G7" i="73"/>
  <c r="G8" i="73"/>
  <c r="G9" i="73"/>
  <c r="G10" i="73"/>
  <c r="H5" i="109"/>
  <c r="F6" i="109"/>
  <c r="G6" i="109"/>
  <c r="G5" i="109" s="1"/>
  <c r="I7" i="109"/>
  <c r="I8" i="109"/>
  <c r="I9" i="109"/>
  <c r="I10" i="109"/>
  <c r="I11" i="109"/>
  <c r="I12" i="109"/>
  <c r="I13" i="109"/>
  <c r="I14" i="109"/>
  <c r="E4" i="83"/>
  <c r="G6" i="83"/>
  <c r="G7" i="83"/>
  <c r="G8" i="83"/>
  <c r="G9" i="83"/>
  <c r="G10" i="83"/>
  <c r="E4" i="84"/>
  <c r="G6" i="84"/>
  <c r="G7" i="84"/>
  <c r="G8" i="84"/>
  <c r="G9" i="84"/>
  <c r="G10" i="84"/>
  <c r="E4" i="68"/>
  <c r="G6" i="68"/>
  <c r="G7" i="68"/>
  <c r="G8" i="68"/>
  <c r="G9" i="68"/>
  <c r="G10" i="68"/>
  <c r="E4" i="67"/>
  <c r="G4" i="67"/>
  <c r="I6" i="67"/>
  <c r="I7" i="67"/>
  <c r="I8" i="67"/>
  <c r="I9" i="67"/>
  <c r="I10" i="67"/>
  <c r="E4" i="66"/>
  <c r="G4" i="66"/>
  <c r="I6" i="66"/>
  <c r="I7" i="66"/>
  <c r="I8" i="66"/>
  <c r="I9" i="66"/>
  <c r="I10" i="66"/>
  <c r="G5" i="65"/>
  <c r="H5" i="65"/>
  <c r="F6" i="65"/>
  <c r="F5" i="65" s="1"/>
  <c r="G6" i="65"/>
  <c r="I7" i="65"/>
  <c r="I8" i="65"/>
  <c r="I9" i="65"/>
  <c r="I10" i="65"/>
  <c r="I11" i="65"/>
  <c r="I12" i="65"/>
  <c r="E4" i="81"/>
  <c r="G6" i="81"/>
  <c r="G7" i="81"/>
  <c r="G8" i="81"/>
  <c r="G9" i="81"/>
  <c r="G10" i="81"/>
  <c r="H8" i="12"/>
  <c r="G11" i="12"/>
  <c r="H7" i="12" l="1"/>
  <c r="H5" i="12" s="1"/>
  <c r="M17" i="12"/>
  <c r="M16" i="12"/>
  <c r="M15" i="12"/>
  <c r="M14" i="12"/>
  <c r="M13" i="12"/>
  <c r="M12" i="12"/>
  <c r="G7" i="12"/>
  <c r="E14" i="103"/>
  <c r="E17" i="103"/>
  <c r="J8" i="12"/>
  <c r="I6" i="65"/>
  <c r="G13" i="103"/>
  <c r="I6" i="109"/>
  <c r="I5" i="109" s="1"/>
  <c r="G10" i="103"/>
  <c r="I11" i="12"/>
  <c r="K11" i="12" s="1"/>
  <c r="F8" i="12"/>
  <c r="I5" i="65"/>
  <c r="F5" i="109"/>
  <c r="E16" i="103" l="1"/>
  <c r="K17" i="103"/>
  <c r="E13" i="103"/>
  <c r="K13" i="103" s="1"/>
  <c r="K14" i="103"/>
  <c r="M11" i="12"/>
  <c r="I7" i="12"/>
  <c r="K11" i="103"/>
  <c r="J11" i="12"/>
  <c r="D6" i="103"/>
  <c r="E10" i="103"/>
  <c r="K10" i="103" s="1"/>
  <c r="I13" i="103"/>
  <c r="M13" i="103" s="1"/>
  <c r="I10" i="103"/>
  <c r="M10" i="103" s="1"/>
  <c r="F7" i="12"/>
  <c r="D5" i="12"/>
  <c r="J7" i="12" l="1"/>
  <c r="K7" i="12"/>
  <c r="I5" i="12"/>
  <c r="K5" i="12" s="1"/>
  <c r="J8" i="103"/>
  <c r="K8" i="103" s="1"/>
  <c r="J6" i="103"/>
  <c r="E6" i="103"/>
  <c r="D5" i="103"/>
  <c r="F6" i="12"/>
  <c r="G5" i="12"/>
  <c r="K6" i="103" l="1"/>
  <c r="E5" i="103"/>
  <c r="F5" i="12"/>
  <c r="M5" i="12"/>
  <c r="J5" i="12" l="1"/>
  <c r="M6" i="12"/>
  <c r="H7" i="103"/>
  <c r="H5" i="103" s="1"/>
  <c r="H16" i="103"/>
  <c r="G16" i="103"/>
  <c r="G7" i="103" l="1"/>
  <c r="G5" i="103" l="1"/>
  <c r="J18" i="103"/>
  <c r="J7" i="103" s="1"/>
  <c r="M18" i="103"/>
  <c r="I7" i="103"/>
  <c r="I5" i="103" s="1"/>
  <c r="I16" i="103"/>
  <c r="M16" i="103" s="1"/>
  <c r="J16" i="103" l="1"/>
  <c r="K16" i="103" s="1"/>
  <c r="K18" i="103"/>
  <c r="M5" i="103"/>
  <c r="M7" i="103"/>
  <c r="J5" i="103"/>
  <c r="K5" i="103" s="1"/>
  <c r="K7" i="10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3" authorId="0" shapeId="0" xr:uid="{00000000-0006-0000-0000-000001000000}">
      <text>
        <r>
          <rPr>
            <b/>
            <sz val="10"/>
            <color indexed="81"/>
            <rFont val="돋움"/>
            <family val="3"/>
            <charset val="129"/>
          </rPr>
          <t>일반예비비</t>
        </r>
        <r>
          <rPr>
            <b/>
            <sz val="10"/>
            <color indexed="81"/>
            <rFont val="Tahoma"/>
            <family val="2"/>
          </rPr>
          <t xml:space="preserve"> + </t>
        </r>
        <r>
          <rPr>
            <b/>
            <sz val="10"/>
            <color indexed="81"/>
            <rFont val="돋움"/>
            <family val="3"/>
            <charset val="129"/>
          </rPr>
          <t>예비비</t>
        </r>
        <r>
          <rPr>
            <b/>
            <sz val="10"/>
            <color indexed="81"/>
            <rFont val="Tahoma"/>
            <family val="2"/>
          </rPr>
          <t>(E)</t>
        </r>
        <r>
          <rPr>
            <b/>
            <sz val="10"/>
            <color indexed="81"/>
            <rFont val="돋움"/>
            <family val="3"/>
            <charset val="129"/>
          </rPr>
          <t>증액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" authorId="0" shapeId="0" xr:uid="{00000000-0006-0000-0900-000001000000}">
      <text>
        <r>
          <rPr>
            <b/>
            <sz val="9"/>
            <color indexed="10"/>
            <rFont val="굴림"/>
            <family val="3"/>
            <charset val="129"/>
          </rPr>
          <t>(자동 수식이 설정)</t>
        </r>
        <r>
          <rPr>
            <b/>
            <sz val="9"/>
            <color indexed="81"/>
            <rFont val="돋움"/>
            <family val="3"/>
            <charset val="129"/>
          </rPr>
          <t>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시트입니다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입력하지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마시고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시트</t>
        </r>
        <r>
          <rPr>
            <b/>
            <sz val="9"/>
            <color indexed="81"/>
            <rFont val="Tahoma"/>
            <family val="2"/>
          </rPr>
          <t xml:space="preserve"> 2,4,6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반영되는지만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단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세입조정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발생시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재정분석팀</t>
        </r>
        <r>
          <rPr>
            <sz val="9"/>
            <color indexed="81"/>
            <rFont val="Tahoma"/>
            <family val="2"/>
          </rPr>
          <t xml:space="preserve"> 8060, 8061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문의주세요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4" authorId="0" shapeId="0" xr:uid="{00000000-0006-0000-0A00-000001000000}">
      <text>
        <r>
          <rPr>
            <b/>
            <sz val="11"/>
            <color indexed="81"/>
            <rFont val="돋움"/>
            <family val="3"/>
            <charset val="129"/>
          </rPr>
          <t>삭감은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마이너스</t>
        </r>
        <r>
          <rPr>
            <b/>
            <sz val="11"/>
            <color indexed="81"/>
            <rFont val="Tahoma"/>
            <family val="2"/>
          </rPr>
          <t>(-)</t>
        </r>
        <r>
          <rPr>
            <b/>
            <sz val="11"/>
            <color indexed="81"/>
            <rFont val="돋움"/>
            <family val="3"/>
            <charset val="129"/>
          </rPr>
          <t>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</text>
    </comment>
    <comment ref="K4" authorId="0" shapeId="0" xr:uid="{00000000-0006-0000-0A00-000002000000}">
      <text>
        <r>
          <rPr>
            <b/>
            <sz val="11"/>
            <color indexed="39"/>
            <rFont val="돋움"/>
            <family val="3"/>
            <charset val="129"/>
          </rPr>
          <t>상임위원회 입력 금지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3" authorId="0" shapeId="0" xr:uid="{00000000-0006-0000-0B00-000001000000}">
      <text>
        <r>
          <rPr>
            <b/>
            <sz val="10"/>
            <color indexed="81"/>
            <rFont val="돋움"/>
            <family val="3"/>
            <charset val="129"/>
          </rPr>
          <t>부기별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예산액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정확히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H4" authorId="0" shapeId="0" xr:uid="{00000000-0006-0000-0B00-000002000000}">
      <text>
        <r>
          <rPr>
            <b/>
            <sz val="10"/>
            <color indexed="81"/>
            <rFont val="굴림"/>
            <family val="3"/>
            <charset val="129"/>
          </rPr>
          <t>삭감은 마이너스(-)로 입력</t>
        </r>
      </text>
    </comment>
    <comment ref="K4" authorId="0" shapeId="0" xr:uid="{00000000-0006-0000-0B00-000003000000}">
      <text>
        <r>
          <rPr>
            <b/>
            <sz val="11"/>
            <color indexed="39"/>
            <rFont val="돋움"/>
            <family val="3"/>
            <charset val="129"/>
          </rPr>
          <t>상임위원회 입력 금지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4" authorId="0" shapeId="0" xr:uid="{00000000-0006-0000-1600-000001000000}">
      <text>
        <r>
          <rPr>
            <b/>
            <sz val="11"/>
            <color indexed="81"/>
            <rFont val="돋움"/>
            <family val="3"/>
            <charset val="129"/>
          </rPr>
          <t>삭감은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마이너스</t>
        </r>
        <r>
          <rPr>
            <b/>
            <sz val="11"/>
            <color indexed="81"/>
            <rFont val="Tahoma"/>
            <family val="2"/>
          </rPr>
          <t>(-)</t>
        </r>
        <r>
          <rPr>
            <b/>
            <sz val="11"/>
            <color indexed="81"/>
            <rFont val="돋움"/>
            <family val="3"/>
            <charset val="129"/>
          </rPr>
          <t>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</text>
    </comment>
    <comment ref="K4" authorId="0" shapeId="0" xr:uid="{00000000-0006-0000-1600-000002000000}">
      <text>
        <r>
          <rPr>
            <b/>
            <sz val="11"/>
            <color indexed="39"/>
            <rFont val="돋움"/>
            <family val="3"/>
            <charset val="129"/>
          </rPr>
          <t>상임위원회 입력 금지</t>
        </r>
      </text>
    </comment>
    <comment ref="B7" authorId="0" shapeId="0" xr:uid="{00000000-0006-0000-1600-000003000000}">
      <text>
        <r>
          <rPr>
            <sz val="9"/>
            <color indexed="81"/>
            <rFont val="Tahoma"/>
            <family val="2"/>
          </rPr>
          <t>00"</t>
        </r>
        <r>
          <rPr>
            <b/>
            <sz val="9"/>
            <color indexed="14"/>
            <rFont val="돋움"/>
            <family val="3"/>
            <charset val="129"/>
          </rPr>
          <t>특별회계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처럼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특별회계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단어를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명시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" authorId="0" shapeId="0" xr:uid="{00000000-0006-0000-1700-000001000000}">
      <text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회계별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삭감사업이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줄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부족시는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회계의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복사후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하단에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추가해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주세요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3" authorId="0" shapeId="0" xr:uid="{00000000-0006-0000-1700-000002000000}">
      <text>
        <r>
          <rPr>
            <b/>
            <sz val="10"/>
            <color indexed="81"/>
            <rFont val="돋움"/>
            <family val="3"/>
            <charset val="129"/>
          </rPr>
          <t>부기별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예산액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정확히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H4" authorId="0" shapeId="0" xr:uid="{00000000-0006-0000-1700-000003000000}">
      <text>
        <r>
          <rPr>
            <b/>
            <sz val="9"/>
            <color indexed="81"/>
            <rFont val="굴림"/>
            <family val="3"/>
            <charset val="129"/>
          </rPr>
          <t>삭감은 마이너스(-)로 입력</t>
        </r>
      </text>
    </comment>
    <comment ref="K4" authorId="0" shapeId="0" xr:uid="{00000000-0006-0000-1700-000004000000}">
      <text>
        <r>
          <rPr>
            <b/>
            <sz val="10"/>
            <color indexed="39"/>
            <rFont val="돋움"/>
            <family val="3"/>
            <charset val="129"/>
          </rPr>
          <t>상임위원회 입력 금지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4" authorId="0" shapeId="0" xr:uid="{00000000-0006-0000-1800-000001000000}">
      <text>
        <r>
          <rPr>
            <b/>
            <sz val="11"/>
            <color indexed="81"/>
            <rFont val="돋움"/>
            <family val="3"/>
            <charset val="129"/>
          </rPr>
          <t>삭감은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마이너스</t>
        </r>
        <r>
          <rPr>
            <b/>
            <sz val="11"/>
            <color indexed="81"/>
            <rFont val="Tahoma"/>
            <family val="2"/>
          </rPr>
          <t>(-)</t>
        </r>
        <r>
          <rPr>
            <b/>
            <sz val="11"/>
            <color indexed="81"/>
            <rFont val="돋움"/>
            <family val="3"/>
            <charset val="129"/>
          </rPr>
          <t>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</text>
    </comment>
    <comment ref="K4" authorId="0" shapeId="0" xr:uid="{00000000-0006-0000-1800-000002000000}">
      <text>
        <r>
          <rPr>
            <b/>
            <sz val="11"/>
            <color indexed="81"/>
            <rFont val="돋움"/>
            <family val="3"/>
            <charset val="129"/>
          </rPr>
          <t>상임위원회 입력 금지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3" authorId="0" shapeId="0" xr:uid="{00000000-0006-0000-1900-000001000000}">
      <text>
        <r>
          <rPr>
            <b/>
            <sz val="10"/>
            <color indexed="81"/>
            <rFont val="돋움"/>
            <family val="3"/>
            <charset val="129"/>
          </rPr>
          <t>부기별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예산액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정확히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H4" authorId="0" shapeId="0" xr:uid="{00000000-0006-0000-1900-000002000000}">
      <text>
        <r>
          <rPr>
            <b/>
            <sz val="9"/>
            <color indexed="81"/>
            <rFont val="굴림"/>
            <family val="3"/>
            <charset val="129"/>
          </rPr>
          <t>삭감은 마이너스(-)로 입력</t>
        </r>
      </text>
    </comment>
    <comment ref="K4" authorId="0" shapeId="0" xr:uid="{00000000-0006-0000-1900-000003000000}">
      <text>
        <r>
          <rPr>
            <b/>
            <sz val="10"/>
            <color indexed="39"/>
            <rFont val="돋움"/>
            <family val="3"/>
            <charset val="129"/>
          </rPr>
          <t>상임위원회 입력금지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3" authorId="0" shapeId="0" xr:uid="{00000000-0006-0000-1A00-000001000000}">
      <text>
        <r>
          <rPr>
            <b/>
            <sz val="10"/>
            <color indexed="81"/>
            <rFont val="돋움"/>
            <family val="3"/>
            <charset val="129"/>
          </rPr>
          <t>부기별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예산액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정확히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H4" authorId="0" shapeId="0" xr:uid="{00000000-0006-0000-1A00-000002000000}">
      <text>
        <r>
          <rPr>
            <b/>
            <sz val="9"/>
            <color indexed="81"/>
            <rFont val="굴림"/>
            <family val="3"/>
            <charset val="129"/>
          </rPr>
          <t>삭감은 마이너스(-)로 입력</t>
        </r>
      </text>
    </comment>
    <comment ref="K4" authorId="0" shapeId="0" xr:uid="{00000000-0006-0000-1A00-000003000000}">
      <text>
        <r>
          <rPr>
            <b/>
            <sz val="10"/>
            <color indexed="38"/>
            <rFont val="돋움"/>
            <family val="3"/>
            <charset val="129"/>
          </rPr>
          <t>상임위원회 입력 금지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4" authorId="0" shapeId="0" xr:uid="{00000000-0006-0000-1B00-000001000000}">
      <text>
        <r>
          <rPr>
            <sz val="10"/>
            <color indexed="81"/>
            <rFont val="굴림"/>
            <family val="3"/>
            <charset val="129"/>
            <scheme val="minor"/>
          </rPr>
          <t>본청+구 예산합계</t>
        </r>
      </text>
    </comment>
    <comment ref="M16" authorId="0" shapeId="0" xr:uid="{00000000-0006-0000-1B00-000002000000}">
      <text>
        <r>
          <rPr>
            <b/>
            <sz val="11"/>
            <color indexed="81"/>
            <rFont val="굴림"/>
            <family val="3"/>
            <charset val="129"/>
            <scheme val="minor"/>
          </rPr>
          <t>기타 특별회계(의료급여기금), 중복계산여부 확인 필요함</t>
        </r>
      </text>
    </comment>
    <comment ref="E22" authorId="0" shapeId="0" xr:uid="{00000000-0006-0000-1B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돋움"/>
            <family val="3"/>
            <charset val="129"/>
          </rPr>
          <t>공기업특별회계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<sst xmlns="http://schemas.openxmlformats.org/spreadsheetml/2006/main" count="1033" uniqueCount="255">
  <si>
    <t>구      분</t>
    <phoneticPr fontId="10" type="noConversion"/>
  </si>
  <si>
    <t>총      계</t>
    <phoneticPr fontId="10" type="noConversion"/>
  </si>
  <si>
    <t>일 반 회 계</t>
    <phoneticPr fontId="10" type="noConversion"/>
  </si>
  <si>
    <t>특 별 회 계</t>
    <phoneticPr fontId="10" type="noConversion"/>
  </si>
  <si>
    <t>공기업
특   별
회   계</t>
    <phoneticPr fontId="10" type="noConversion"/>
  </si>
  <si>
    <t>소         계</t>
    <phoneticPr fontId="10" type="noConversion"/>
  </si>
  <si>
    <t>상수도사업</t>
    <phoneticPr fontId="10" type="noConversion"/>
  </si>
  <si>
    <t>하수도사업</t>
    <phoneticPr fontId="10" type="noConversion"/>
  </si>
  <si>
    <t>기  타
특  별
회  계</t>
    <phoneticPr fontId="10" type="noConversion"/>
  </si>
  <si>
    <t xml:space="preserve">(단위: 천원) </t>
  </si>
  <si>
    <t>예산구분</t>
  </si>
  <si>
    <t>계</t>
  </si>
  <si>
    <t>○</t>
    <phoneticPr fontId="10" type="noConversion"/>
  </si>
  <si>
    <t>삭감(조정)액</t>
    <phoneticPr fontId="10" type="noConversion"/>
  </si>
  <si>
    <t>소관부서</t>
    <phoneticPr fontId="10" type="noConversion"/>
  </si>
  <si>
    <t>예산과목</t>
    <phoneticPr fontId="10" type="noConversion"/>
  </si>
  <si>
    <t>사업명</t>
    <phoneticPr fontId="10" type="noConversion"/>
  </si>
  <si>
    <t>요구액</t>
    <phoneticPr fontId="10" type="noConversion"/>
  </si>
  <si>
    <t>상임위원회 예비심사</t>
    <phoneticPr fontId="10" type="noConversion"/>
  </si>
  <si>
    <t>합계</t>
    <phoneticPr fontId="10" type="noConversion"/>
  </si>
  <si>
    <t>(단위 : 천원)</t>
    <phoneticPr fontId="10" type="noConversion"/>
  </si>
  <si>
    <t>통계목
(page   )</t>
    <phoneticPr fontId="10" type="noConversion"/>
  </si>
  <si>
    <t>00000과</t>
    <phoneticPr fontId="10" type="noConversion"/>
  </si>
  <si>
    <t>공기업특별회계</t>
    <phoneticPr fontId="10" type="noConversion"/>
  </si>
  <si>
    <t>(단위 : 천원)</t>
    <phoneticPr fontId="10" type="noConversion"/>
  </si>
  <si>
    <t>삭감액</t>
    <phoneticPr fontId="10" type="noConversion"/>
  </si>
  <si>
    <t>삭감사유</t>
    <phoneticPr fontId="10" type="noConversion"/>
  </si>
  <si>
    <t>행정복지위원회(기타특별회계-공유재산관리)</t>
    <phoneticPr fontId="10" type="noConversion"/>
  </si>
  <si>
    <t>행정복지위원회(기타특별회계-의료급여기금)</t>
    <phoneticPr fontId="10" type="noConversion"/>
  </si>
  <si>
    <t>행정복지위원회(기타특별회계-기초생활보장)</t>
    <phoneticPr fontId="10" type="noConversion"/>
  </si>
  <si>
    <t>재정문화위원회(기타특별-공유재산관리)</t>
    <phoneticPr fontId="10" type="noConversion"/>
  </si>
  <si>
    <t>도시교통위원회(일반회계)</t>
    <phoneticPr fontId="10" type="noConversion"/>
  </si>
  <si>
    <t>도시교통위원회(기타특별-장기미집행)</t>
    <phoneticPr fontId="10" type="noConversion"/>
  </si>
  <si>
    <t>도시교통위원회(기타특별-교통사업)</t>
    <phoneticPr fontId="10" type="noConversion"/>
  </si>
  <si>
    <t>도시교통위원회(기타특별-도시개발)</t>
    <phoneticPr fontId="10" type="noConversion"/>
  </si>
  <si>
    <t>의회운영위원회</t>
    <phoneticPr fontId="16" type="noConversion"/>
  </si>
  <si>
    <t>재정문화위원회</t>
    <phoneticPr fontId="16" type="noConversion"/>
  </si>
  <si>
    <t>행정복지위원회</t>
    <phoneticPr fontId="16" type="noConversion"/>
  </si>
  <si>
    <t>도시교통위원회</t>
    <phoneticPr fontId="16" type="noConversion"/>
  </si>
  <si>
    <t>상임위원회</t>
    <phoneticPr fontId="10" type="noConversion"/>
  </si>
  <si>
    <t>예산(안)액</t>
    <phoneticPr fontId="10" type="noConversion"/>
  </si>
  <si>
    <t>행정복지위원회(특별회계-상수도사업)</t>
    <phoneticPr fontId="10" type="noConversion"/>
  </si>
  <si>
    <t>행정복지위원회(특별회계-하수도사업)</t>
    <phoneticPr fontId="10" type="noConversion"/>
  </si>
  <si>
    <t>수정예산액</t>
    <phoneticPr fontId="10" type="noConversion"/>
  </si>
  <si>
    <t>합계</t>
    <phoneticPr fontId="10" type="noConversion"/>
  </si>
  <si>
    <t>부대의견</t>
    <phoneticPr fontId="10" type="noConversion"/>
  </si>
  <si>
    <t>비고</t>
    <phoneticPr fontId="10" type="noConversion"/>
  </si>
  <si>
    <t>도시교통위원회(기타특별-철도건설)</t>
    <phoneticPr fontId="10" type="noConversion"/>
  </si>
  <si>
    <t>도시교통위원회(기타특별-폐기물처리시설)</t>
    <phoneticPr fontId="10" type="noConversion"/>
  </si>
  <si>
    <t>도시교통위원회(기타특별-도시재정비)</t>
    <phoneticPr fontId="10" type="noConversion"/>
  </si>
  <si>
    <t>도시교통위원회(기타특별-기반시설)</t>
    <phoneticPr fontId="10" type="noConversion"/>
  </si>
  <si>
    <t>예산결산특별위원회 종합심사</t>
    <phoneticPr fontId="10" type="noConversion"/>
  </si>
  <si>
    <t>삭감(조정) 사유</t>
    <phoneticPr fontId="10" type="noConversion"/>
  </si>
  <si>
    <t>도시교통위원회(기타특별-공유재산관리)</t>
    <phoneticPr fontId="10" type="noConversion"/>
  </si>
  <si>
    <t>세출예산</t>
    <phoneticPr fontId="10" type="noConversion"/>
  </si>
  <si>
    <t>통계목</t>
    <phoneticPr fontId="10" type="noConversion"/>
  </si>
  <si>
    <t>예산안
페이지</t>
    <phoneticPr fontId="10" type="noConversion"/>
  </si>
  <si>
    <t>일반회계</t>
    <phoneticPr fontId="10" type="noConversion"/>
  </si>
  <si>
    <t>기타특별회계</t>
    <phoneticPr fontId="10" type="noConversion"/>
  </si>
  <si>
    <t>일반회계</t>
    <phoneticPr fontId="10" type="noConversion"/>
  </si>
  <si>
    <t>공기업특별회계</t>
    <phoneticPr fontId="10" type="noConversion"/>
  </si>
  <si>
    <t>소계</t>
    <phoneticPr fontId="10" type="noConversion"/>
  </si>
  <si>
    <t>회계구분</t>
    <phoneticPr fontId="10" type="noConversion"/>
  </si>
  <si>
    <t>소관부서</t>
    <phoneticPr fontId="10" type="noConversion"/>
  </si>
  <si>
    <t>예산과목</t>
    <phoneticPr fontId="10" type="noConversion"/>
  </si>
  <si>
    <t>예산안
페이지</t>
    <phoneticPr fontId="10" type="noConversion"/>
  </si>
  <si>
    <t>예산(안)액</t>
    <phoneticPr fontId="10" type="noConversion"/>
  </si>
  <si>
    <t>상임위원회 예비심사</t>
    <phoneticPr fontId="10" type="noConversion"/>
  </si>
  <si>
    <t>수정예산액</t>
    <phoneticPr fontId="10" type="noConversion"/>
  </si>
  <si>
    <t>부대의견</t>
    <phoneticPr fontId="10" type="noConversion"/>
  </si>
  <si>
    <t>통계목</t>
    <phoneticPr fontId="10" type="noConversion"/>
  </si>
  <si>
    <t>삭감(조정)액</t>
    <phoneticPr fontId="10" type="noConversion"/>
  </si>
  <si>
    <t>삭감(조정) 사유</t>
    <phoneticPr fontId="10" type="noConversion"/>
  </si>
  <si>
    <t>사업명</t>
    <phoneticPr fontId="10" type="noConversion"/>
  </si>
  <si>
    <t>재정문화위원회소관(기타특별회계)</t>
    <phoneticPr fontId="10" type="noConversion"/>
  </si>
  <si>
    <t>행정복지위원회소관(특별회계)</t>
    <phoneticPr fontId="10" type="noConversion"/>
  </si>
  <si>
    <t>복지정책과</t>
    <phoneticPr fontId="10" type="noConversion"/>
  </si>
  <si>
    <t>자원순환과</t>
    <phoneticPr fontId="10" type="noConversion"/>
  </si>
  <si>
    <t>공유재산특별회계</t>
  </si>
  <si>
    <t>기타
특별회계</t>
    <phoneticPr fontId="10" type="noConversion"/>
  </si>
  <si>
    <t>기타
특별회계</t>
    <phoneticPr fontId="10" type="noConversion"/>
  </si>
  <si>
    <r>
      <t xml:space="preserve">2018년도 본예산 </t>
    </r>
    <r>
      <rPr>
        <b/>
        <sz val="20"/>
        <color indexed="10"/>
        <rFont val="HY견명조"/>
        <family val="1"/>
        <charset val="129"/>
      </rPr>
      <t>세출</t>
    </r>
    <r>
      <rPr>
        <b/>
        <sz val="20"/>
        <rFont val="HY견명조"/>
        <family val="1"/>
        <charset val="129"/>
      </rPr>
      <t xml:space="preserve"> 예산 조정(안)</t>
    </r>
    <phoneticPr fontId="10" type="noConversion"/>
  </si>
  <si>
    <t>의료급여기금특별회계</t>
  </si>
  <si>
    <t xml:space="preserve"> 상임위원회 예비심사</t>
    <phoneticPr fontId="10" type="noConversion"/>
  </si>
  <si>
    <t>세입수정예산안           (A-B)</t>
    <phoneticPr fontId="10" type="noConversion"/>
  </si>
  <si>
    <t>삭감액(C)</t>
    <phoneticPr fontId="10" type="noConversion"/>
  </si>
  <si>
    <t>삭감액(D)</t>
    <phoneticPr fontId="10" type="noConversion"/>
  </si>
  <si>
    <t>증액(D1)</t>
    <phoneticPr fontId="10" type="noConversion"/>
  </si>
  <si>
    <t>세입수정예산안
(A-B)</t>
    <phoneticPr fontId="10" type="noConversion"/>
  </si>
  <si>
    <t>세출예산조정</t>
    <phoneticPr fontId="10" type="noConversion"/>
  </si>
  <si>
    <t xml:space="preserve"> </t>
    <phoneticPr fontId="10" type="noConversion"/>
  </si>
  <si>
    <t>교통사업</t>
  </si>
  <si>
    <t>폐기물처리시설</t>
  </si>
  <si>
    <t>도시개발</t>
  </si>
  <si>
    <t>문화시설건립</t>
  </si>
  <si>
    <t>도시재생</t>
  </si>
  <si>
    <t>성골지구도시개발</t>
  </si>
  <si>
    <t>공유재산관리</t>
  </si>
  <si>
    <t>의료급여기금</t>
  </si>
  <si>
    <t>철도건설사업</t>
  </si>
  <si>
    <t>공공시설등 설치</t>
  </si>
  <si>
    <t>위원회</t>
    <phoneticPr fontId="10" type="noConversion"/>
  </si>
  <si>
    <t>계</t>
    <phoneticPr fontId="10" type="noConversion"/>
  </si>
  <si>
    <t>예산안 일반예비비</t>
    <phoneticPr fontId="10" type="noConversion"/>
  </si>
  <si>
    <t>재정문화위원회</t>
    <phoneticPr fontId="10" type="noConversion"/>
  </si>
  <si>
    <t>행정복지위원회</t>
    <phoneticPr fontId="10" type="noConversion"/>
  </si>
  <si>
    <t>도시교통위원회</t>
    <phoneticPr fontId="10" type="noConversion"/>
  </si>
  <si>
    <t>수정의결할 일반예비비</t>
    <phoneticPr fontId="10" type="noConversion"/>
  </si>
  <si>
    <t>소관</t>
    <phoneticPr fontId="66" type="noConversion"/>
  </si>
  <si>
    <t>기금명</t>
    <phoneticPr fontId="66" type="noConversion"/>
  </si>
  <si>
    <t>연도말조성액</t>
    <phoneticPr fontId="66" type="noConversion"/>
  </si>
  <si>
    <t>담당부서</t>
    <phoneticPr fontId="66" type="noConversion"/>
  </si>
  <si>
    <t>행정</t>
    <phoneticPr fontId="66" type="noConversion"/>
  </si>
  <si>
    <t>재난관리기금</t>
    <phoneticPr fontId="66" type="noConversion"/>
  </si>
  <si>
    <t>도시</t>
    <phoneticPr fontId="66" type="noConversion"/>
  </si>
  <si>
    <t>부대이전 및 부지개발사업기금</t>
    <phoneticPr fontId="66" type="noConversion"/>
  </si>
  <si>
    <t>도시개발과</t>
    <phoneticPr fontId="66" type="noConversion"/>
  </si>
  <si>
    <t>재정</t>
    <phoneticPr fontId="66" type="noConversion"/>
  </si>
  <si>
    <t>문화예술발전기금</t>
    <phoneticPr fontId="66" type="noConversion"/>
  </si>
  <si>
    <t>자활기금</t>
    <phoneticPr fontId="66" type="noConversion"/>
  </si>
  <si>
    <t>복지정책과</t>
    <phoneticPr fontId="66" type="noConversion"/>
  </si>
  <si>
    <t>성평등기금</t>
    <phoneticPr fontId="66" type="noConversion"/>
  </si>
  <si>
    <t>노인복지기금</t>
    <phoneticPr fontId="66" type="noConversion"/>
  </si>
  <si>
    <t>노인복지과</t>
    <phoneticPr fontId="66" type="noConversion"/>
  </si>
  <si>
    <t>식품진흥기금</t>
    <phoneticPr fontId="66" type="noConversion"/>
  </si>
  <si>
    <t>식품위생과</t>
    <phoneticPr fontId="66" type="noConversion"/>
  </si>
  <si>
    <t>도시주거환경정비기금</t>
    <phoneticPr fontId="66" type="noConversion"/>
  </si>
  <si>
    <t>폐기물처리시설주변 
영향지역 주민지원기금</t>
    <phoneticPr fontId="66" type="noConversion"/>
  </si>
  <si>
    <t>자원순환과</t>
    <phoneticPr fontId="66" type="noConversion"/>
  </si>
  <si>
    <t>옥외광고발전기금</t>
    <phoneticPr fontId="66" type="noConversion"/>
  </si>
  <si>
    <t>도로관리과</t>
    <phoneticPr fontId="66" type="noConversion"/>
  </si>
  <si>
    <t>통합재정안정화기금</t>
    <phoneticPr fontId="66" type="noConversion"/>
  </si>
  <si>
    <t>예산법무과</t>
    <phoneticPr fontId="66" type="noConversion"/>
  </si>
  <si>
    <t>고향사랑기금</t>
    <phoneticPr fontId="66" type="noConversion"/>
  </si>
  <si>
    <t>자치분권과</t>
    <phoneticPr fontId="66" type="noConversion"/>
  </si>
  <si>
    <t>(단위: 천원)</t>
    <phoneticPr fontId="66" type="noConversion"/>
  </si>
  <si>
    <t>부서명</t>
    <phoneticPr fontId="66" type="noConversion"/>
  </si>
  <si>
    <t>일반회계</t>
    <phoneticPr fontId="66" type="noConversion"/>
  </si>
  <si>
    <t>특별회계</t>
    <phoneticPr fontId="66" type="noConversion"/>
  </si>
  <si>
    <t>기금</t>
    <phoneticPr fontId="66" type="noConversion"/>
  </si>
  <si>
    <t>구    분</t>
    <phoneticPr fontId="66" type="noConversion"/>
  </si>
  <si>
    <t>일반회계(A)</t>
    <phoneticPr fontId="66" type="noConversion"/>
  </si>
  <si>
    <t>특별회계(B)</t>
    <phoneticPr fontId="66" type="noConversion"/>
  </si>
  <si>
    <t>기금(C)</t>
    <phoneticPr fontId="66" type="noConversion"/>
  </si>
  <si>
    <t>합계(A+B)</t>
    <phoneticPr fontId="66" type="noConversion"/>
  </si>
  <si>
    <t>본청 합계</t>
    <phoneticPr fontId="66" type="noConversion"/>
  </si>
  <si>
    <t>합    계</t>
    <phoneticPr fontId="66" type="noConversion"/>
  </si>
  <si>
    <t>의회</t>
    <phoneticPr fontId="66" type="noConversion"/>
  </si>
  <si>
    <t>의회사무국</t>
    <phoneticPr fontId="66" type="noConversion"/>
  </si>
  <si>
    <t>의회운영</t>
    <phoneticPr fontId="66" type="noConversion"/>
  </si>
  <si>
    <t>소     계</t>
    <phoneticPr fontId="66" type="noConversion"/>
  </si>
  <si>
    <t>재정문화</t>
    <phoneticPr fontId="66" type="noConversion"/>
  </si>
  <si>
    <t>소통담당관</t>
    <phoneticPr fontId="66" type="noConversion"/>
  </si>
  <si>
    <t>행정복지</t>
    <phoneticPr fontId="66" type="noConversion"/>
  </si>
  <si>
    <t>도시교통</t>
    <phoneticPr fontId="66" type="noConversion"/>
  </si>
  <si>
    <t>기타특별회계</t>
    <phoneticPr fontId="66" type="noConversion"/>
  </si>
  <si>
    <t>-</t>
    <phoneticPr fontId="66" type="noConversion"/>
  </si>
  <si>
    <t>감사담당관</t>
    <phoneticPr fontId="66" type="noConversion"/>
  </si>
  <si>
    <t>공기업특별회계</t>
    <phoneticPr fontId="66" type="noConversion"/>
  </si>
  <si>
    <t>구 분</t>
    <phoneticPr fontId="66" type="noConversion"/>
  </si>
  <si>
    <t>합   계</t>
    <phoneticPr fontId="66" type="noConversion"/>
  </si>
  <si>
    <t>구 합계</t>
    <phoneticPr fontId="66" type="noConversion"/>
  </si>
  <si>
    <t>원미구</t>
    <phoneticPr fontId="66" type="noConversion"/>
  </si>
  <si>
    <t>소사구</t>
    <phoneticPr fontId="66" type="noConversion"/>
  </si>
  <si>
    <t>오정구</t>
    <phoneticPr fontId="66" type="noConversion"/>
  </si>
  <si>
    <t>부천시보건소</t>
    <phoneticPr fontId="66" type="noConversion"/>
  </si>
  <si>
    <t>상수도공기업</t>
    <phoneticPr fontId="66" type="noConversion"/>
  </si>
  <si>
    <t>하수도공기업</t>
    <phoneticPr fontId="66" type="noConversion"/>
  </si>
  <si>
    <t>합계</t>
    <phoneticPr fontId="10" type="noConversion"/>
  </si>
  <si>
    <t>예비비증액(E=D+D1)</t>
    <phoneticPr fontId="10" type="noConversion"/>
  </si>
  <si>
    <t>세출수정예산안
(C-D+D1+E)</t>
    <phoneticPr fontId="10" type="noConversion"/>
  </si>
  <si>
    <r>
      <t xml:space="preserve">비고
</t>
    </r>
    <r>
      <rPr>
        <b/>
        <sz val="10"/>
        <rFont val="굴림"/>
        <family val="3"/>
        <charset val="129"/>
      </rPr>
      <t>(증감율)</t>
    </r>
    <phoneticPr fontId="10" type="noConversion"/>
  </si>
  <si>
    <t>세입조정(B)</t>
    <phoneticPr fontId="10" type="noConversion"/>
  </si>
  <si>
    <t>세입조정
(B)</t>
    <phoneticPr fontId="10" type="noConversion"/>
  </si>
  <si>
    <t>증액(D)</t>
    <phoneticPr fontId="10" type="noConversion"/>
  </si>
  <si>
    <t>예비비 증액(E)</t>
    <phoneticPr fontId="10" type="noConversion"/>
  </si>
  <si>
    <t>세출수정예산안             (A-C+D+E)</t>
    <phoneticPr fontId="10" type="noConversion"/>
  </si>
  <si>
    <t>사  업  명</t>
    <phoneticPr fontId="10" type="noConversion"/>
  </si>
  <si>
    <t xml:space="preserve"> 예산결산위원회 종합심사</t>
    <phoneticPr fontId="10" type="noConversion"/>
  </si>
  <si>
    <t>회계
구분</t>
    <phoneticPr fontId="10" type="noConversion"/>
  </si>
  <si>
    <t>도시교통위원회</t>
  </si>
  <si>
    <t>상수도특별회계</t>
    <phoneticPr fontId="10" type="noConversion"/>
  </si>
  <si>
    <t>하수도특별회계</t>
    <phoneticPr fontId="10" type="noConversion"/>
  </si>
  <si>
    <t>상수도특별회계 계</t>
    <phoneticPr fontId="10" type="noConversion"/>
  </si>
  <si>
    <t>하수도특별회계 계</t>
    <phoneticPr fontId="10" type="noConversion"/>
  </si>
  <si>
    <t>도시주거환경정비기금</t>
    <phoneticPr fontId="10" type="noConversion"/>
  </si>
  <si>
    <t>기금</t>
    <phoneticPr fontId="10" type="noConversion"/>
  </si>
  <si>
    <t>세입수정액=세출수정액</t>
    <phoneticPr fontId="10" type="noConversion"/>
  </si>
  <si>
    <t>삭감액=증액+예비비증액</t>
    <phoneticPr fontId="10" type="noConversion"/>
  </si>
  <si>
    <t>세입조정
(B)</t>
  </si>
  <si>
    <t>세입수정예산안
(A-B)</t>
  </si>
  <si>
    <t>행복</t>
    <phoneticPr fontId="66" type="noConversion"/>
  </si>
  <si>
    <t>재문</t>
    <phoneticPr fontId="66" type="noConversion"/>
  </si>
  <si>
    <t>전략담당관</t>
    <phoneticPr fontId="66" type="noConversion"/>
  </si>
  <si>
    <t>홍보담당관</t>
  </si>
  <si>
    <t>기획조정실</t>
  </si>
  <si>
    <t>특별회계 오차</t>
    <phoneticPr fontId="66" type="noConversion"/>
  </si>
  <si>
    <t>행정안전국</t>
    <phoneticPr fontId="66" type="noConversion"/>
  </si>
  <si>
    <t>문화체육국</t>
    <phoneticPr fontId="66" type="noConversion"/>
  </si>
  <si>
    <t>복지국</t>
    <phoneticPr fontId="66" type="noConversion"/>
  </si>
  <si>
    <t>평생교육국</t>
    <phoneticPr fontId="66" type="noConversion"/>
  </si>
  <si>
    <t>도교</t>
    <phoneticPr fontId="66" type="noConversion"/>
  </si>
  <si>
    <t>도시국</t>
    <phoneticPr fontId="66" type="noConversion"/>
  </si>
  <si>
    <t>주택국</t>
    <phoneticPr fontId="66" type="noConversion"/>
  </si>
  <si>
    <t>교통국</t>
    <phoneticPr fontId="66" type="noConversion"/>
  </si>
  <si>
    <t>수도자원국</t>
    <phoneticPr fontId="66" type="noConversion"/>
  </si>
  <si>
    <t>공기업특별회계 소계</t>
    <phoneticPr fontId="66" type="noConversion"/>
  </si>
  <si>
    <t>공원녹지국</t>
    <phoneticPr fontId="66" type="noConversion"/>
  </si>
  <si>
    <t>수도행정과</t>
    <phoneticPr fontId="66" type="noConversion"/>
  </si>
  <si>
    <t>수도시설과</t>
    <phoneticPr fontId="66" type="noConversion"/>
  </si>
  <si>
    <t>경제환경국</t>
    <phoneticPr fontId="66" type="noConversion"/>
  </si>
  <si>
    <t>정수과</t>
    <phoneticPr fontId="66" type="noConversion"/>
  </si>
  <si>
    <t>하수하천과</t>
    <phoneticPr fontId="66" type="noConversion"/>
  </si>
  <si>
    <t>재난안전과</t>
    <phoneticPr fontId="66" type="noConversion"/>
  </si>
  <si>
    <t>문화정책과</t>
    <phoneticPr fontId="66" type="noConversion"/>
  </si>
  <si>
    <t>여성다문화과</t>
    <phoneticPr fontId="66" type="noConversion"/>
  </si>
  <si>
    <t>주거정비과
원도심재생과</t>
    <phoneticPr fontId="66" type="noConversion"/>
  </si>
  <si>
    <t>기획조정실</t>
    <phoneticPr fontId="66" type="noConversion"/>
  </si>
  <si>
    <t>의회운영위원회</t>
    <phoneticPr fontId="10" type="noConversion"/>
  </si>
  <si>
    <t>통합재정안정화기금</t>
    <phoneticPr fontId="10" type="noConversion"/>
  </si>
  <si>
    <t xml:space="preserve">최종 수정일자: </t>
    <phoneticPr fontId="66" type="noConversion"/>
  </si>
  <si>
    <t>2026년 세입예산안(A)</t>
    <phoneticPr fontId="10" type="noConversion"/>
  </si>
  <si>
    <t>2026년 세출예산안(C)</t>
    <phoneticPr fontId="10" type="noConversion"/>
  </si>
  <si>
    <t>2026년 
세입예산안(A)</t>
    <phoneticPr fontId="10" type="noConversion"/>
  </si>
  <si>
    <t>2026년도 
세입예산안(A)</t>
    <phoneticPr fontId="10" type="noConversion"/>
  </si>
  <si>
    <t>2026년도 
세출예산안(C)</t>
    <phoneticPr fontId="10" type="noConversion"/>
  </si>
  <si>
    <t>부대이전및부지개발사업기금</t>
    <phoneticPr fontId="10" type="noConversion"/>
  </si>
  <si>
    <t>계획안
페이지</t>
    <phoneticPr fontId="10" type="noConversion"/>
  </si>
  <si>
    <t>00특별회계</t>
    <phoneticPr fontId="10" type="noConversion"/>
  </si>
  <si>
    <t>특별회계명</t>
    <phoneticPr fontId="10" type="noConversion"/>
  </si>
  <si>
    <t>발전소주변지역지원</t>
    <phoneticPr fontId="10" type="noConversion"/>
  </si>
  <si>
    <t>공공시설등설치</t>
    <phoneticPr fontId="10" type="noConversion"/>
  </si>
  <si>
    <t>공유재산관리특별회계</t>
    <phoneticPr fontId="10" type="noConversion"/>
  </si>
  <si>
    <t>의료급여기금특별회계</t>
    <phoneticPr fontId="10" type="noConversion"/>
  </si>
  <si>
    <t>도시개발특별회계</t>
    <phoneticPr fontId="10" type="noConversion"/>
  </si>
  <si>
    <t>2025년 제3회 추가경정예산안 예산결산특별위원회 종합심사 결과</t>
    <phoneticPr fontId="10" type="noConversion"/>
  </si>
  <si>
    <r>
      <t xml:space="preserve">   2025년 제3회 추가경정예산안</t>
    </r>
    <r>
      <rPr>
        <sz val="20"/>
        <color rgb="FF0232FE"/>
        <rFont val="HY헤드라인M"/>
        <family val="1"/>
        <charset val="129"/>
      </rPr>
      <t xml:space="preserve"> 위원회별 조정</t>
    </r>
    <r>
      <rPr>
        <sz val="20"/>
        <color rgb="FFFF0000"/>
        <rFont val="HY헤드라인M"/>
        <family val="1"/>
        <charset val="129"/>
      </rPr>
      <t xml:space="preserve">(삭감) </t>
    </r>
    <r>
      <rPr>
        <sz val="20"/>
        <color indexed="8"/>
        <rFont val="HY헤드라인M"/>
        <family val="1"/>
        <charset val="129"/>
      </rPr>
      <t>내역 (예결위 종합심사)</t>
    </r>
    <phoneticPr fontId="10" type="noConversion"/>
  </si>
  <si>
    <r>
      <t xml:space="preserve">2025년 제3회 추가경정예산안 </t>
    </r>
    <r>
      <rPr>
        <sz val="22"/>
        <color rgb="FFFF0000"/>
        <rFont val="HY헤드라인M"/>
        <family val="1"/>
        <charset val="129"/>
      </rPr>
      <t xml:space="preserve">(일반회계) </t>
    </r>
    <r>
      <rPr>
        <sz val="22"/>
        <color indexed="10"/>
        <rFont val="HY헤드라인M"/>
        <family val="1"/>
        <charset val="129"/>
      </rPr>
      <t>세입</t>
    </r>
    <r>
      <rPr>
        <sz val="22"/>
        <rFont val="HY헤드라인M"/>
        <family val="1"/>
        <charset val="129"/>
      </rPr>
      <t xml:space="preserve"> 예산 조정(안)</t>
    </r>
    <phoneticPr fontId="10" type="noConversion"/>
  </si>
  <si>
    <r>
      <t xml:space="preserve">2025년 제3회 추가경정예산안 </t>
    </r>
    <r>
      <rPr>
        <sz val="22"/>
        <color rgb="FFFF0000"/>
        <rFont val="HY헤드라인M"/>
        <family val="1"/>
        <charset val="129"/>
      </rPr>
      <t>(기타특별회계)</t>
    </r>
    <r>
      <rPr>
        <sz val="22"/>
        <rFont val="HY헤드라인M"/>
        <family val="1"/>
        <charset val="129"/>
      </rPr>
      <t xml:space="preserve"> </t>
    </r>
    <r>
      <rPr>
        <sz val="22"/>
        <color indexed="10"/>
        <rFont val="HY헤드라인M"/>
        <family val="1"/>
        <charset val="129"/>
      </rPr>
      <t>세입</t>
    </r>
    <r>
      <rPr>
        <sz val="22"/>
        <rFont val="HY헤드라인M"/>
        <family val="1"/>
        <charset val="129"/>
      </rPr>
      <t xml:space="preserve"> 예산 조정(안)</t>
    </r>
    <phoneticPr fontId="10" type="noConversion"/>
  </si>
  <si>
    <r>
      <t xml:space="preserve">2025년 제3회 추가경정예산안 </t>
    </r>
    <r>
      <rPr>
        <sz val="22"/>
        <color rgb="FFFF0000"/>
        <rFont val="HY헤드라인M"/>
        <family val="1"/>
        <charset val="129"/>
      </rPr>
      <t>(공기업특별회계)</t>
    </r>
    <r>
      <rPr>
        <sz val="22"/>
        <rFont val="HY헤드라인M"/>
        <family val="1"/>
        <charset val="129"/>
      </rPr>
      <t xml:space="preserve"> </t>
    </r>
    <r>
      <rPr>
        <sz val="22"/>
        <color indexed="10"/>
        <rFont val="HY헤드라인M"/>
        <family val="1"/>
        <charset val="129"/>
      </rPr>
      <t>세입</t>
    </r>
    <r>
      <rPr>
        <sz val="22"/>
        <rFont val="HY헤드라인M"/>
        <family val="1"/>
        <charset val="129"/>
      </rPr>
      <t xml:space="preserve"> 예산 조정(안)</t>
    </r>
    <phoneticPr fontId="10" type="noConversion"/>
  </si>
  <si>
    <t>교통사업특별회계</t>
    <phoneticPr fontId="10" type="noConversion"/>
  </si>
  <si>
    <t>폐기물처리시설특별회계</t>
    <phoneticPr fontId="10" type="noConversion"/>
  </si>
  <si>
    <t>철도건설사업특별회계</t>
    <phoneticPr fontId="10" type="noConversion"/>
  </si>
  <si>
    <t>부  기  명</t>
    <phoneticPr fontId="10" type="noConversion"/>
  </si>
  <si>
    <t>2026년 제2회 추가경정예산안 상임위별 현황</t>
    <phoneticPr fontId="66" type="noConversion"/>
  </si>
  <si>
    <r>
      <t xml:space="preserve">   2026년 제2회 추가경정예산안</t>
    </r>
    <r>
      <rPr>
        <sz val="20"/>
        <color rgb="FF0232FE"/>
        <rFont val="HY헤드라인M"/>
        <family val="1"/>
        <charset val="129"/>
      </rPr>
      <t xml:space="preserve"> 위원회별 조정</t>
    </r>
    <r>
      <rPr>
        <sz val="20"/>
        <color rgb="FFFF0000"/>
        <rFont val="HY헤드라인M"/>
        <family val="1"/>
        <charset val="129"/>
      </rPr>
      <t xml:space="preserve">(삭감) </t>
    </r>
    <r>
      <rPr>
        <sz val="20"/>
        <color indexed="8"/>
        <rFont val="HY헤드라인M"/>
        <family val="1"/>
        <charset val="129"/>
      </rPr>
      <t>내역</t>
    </r>
    <r>
      <rPr>
        <sz val="20"/>
        <color rgb="FF0232FE"/>
        <rFont val="HY헤드라인M"/>
        <family val="1"/>
        <charset val="129"/>
      </rPr>
      <t xml:space="preserve"> (상임위 예비심사)</t>
    </r>
    <phoneticPr fontId="10" type="noConversion"/>
  </si>
  <si>
    <r>
      <t xml:space="preserve">2026년 제2회 추가경정예산안 </t>
    </r>
    <r>
      <rPr>
        <sz val="22"/>
        <color rgb="FFFF0000"/>
        <rFont val="HY헤드라인M"/>
        <family val="1"/>
        <charset val="129"/>
      </rPr>
      <t xml:space="preserve">(일반회계) </t>
    </r>
    <r>
      <rPr>
        <sz val="22"/>
        <color indexed="10"/>
        <rFont val="HY헤드라인M"/>
        <family val="1"/>
        <charset val="129"/>
      </rPr>
      <t>세출</t>
    </r>
    <r>
      <rPr>
        <sz val="22"/>
        <rFont val="HY헤드라인M"/>
        <family val="1"/>
        <charset val="129"/>
      </rPr>
      <t xml:space="preserve"> 예산 조정(안)</t>
    </r>
    <phoneticPr fontId="10" type="noConversion"/>
  </si>
  <si>
    <r>
      <t xml:space="preserve">2026년 제2회 추가경정예산안 </t>
    </r>
    <r>
      <rPr>
        <sz val="22"/>
        <color rgb="FFFF0000"/>
        <rFont val="HY헤드라인M"/>
        <family val="1"/>
        <charset val="129"/>
      </rPr>
      <t>(기타특별회계)</t>
    </r>
    <r>
      <rPr>
        <sz val="22"/>
        <rFont val="HY헤드라인M"/>
        <family val="1"/>
        <charset val="129"/>
      </rPr>
      <t xml:space="preserve"> </t>
    </r>
    <r>
      <rPr>
        <sz val="22"/>
        <color indexed="10"/>
        <rFont val="HY헤드라인M"/>
        <family val="1"/>
        <charset val="129"/>
      </rPr>
      <t>세출</t>
    </r>
    <r>
      <rPr>
        <sz val="22"/>
        <rFont val="HY헤드라인M"/>
        <family val="1"/>
        <charset val="129"/>
      </rPr>
      <t xml:space="preserve"> 예산 조정(안)</t>
    </r>
    <phoneticPr fontId="10" type="noConversion"/>
  </si>
  <si>
    <r>
      <t xml:space="preserve">2026년 제2회 추가경정예산안 </t>
    </r>
    <r>
      <rPr>
        <sz val="22"/>
        <color rgb="FFFF0000"/>
        <rFont val="HY헤드라인M"/>
        <family val="1"/>
        <charset val="129"/>
      </rPr>
      <t>(공기업특별회계)</t>
    </r>
    <r>
      <rPr>
        <sz val="22"/>
        <rFont val="HY헤드라인M"/>
        <family val="1"/>
        <charset val="129"/>
      </rPr>
      <t xml:space="preserve"> </t>
    </r>
    <r>
      <rPr>
        <sz val="22"/>
        <color indexed="10"/>
        <rFont val="HY헤드라인M"/>
        <family val="1"/>
        <charset val="129"/>
      </rPr>
      <t>세출</t>
    </r>
    <r>
      <rPr>
        <sz val="22"/>
        <rFont val="HY헤드라인M"/>
        <family val="1"/>
        <charset val="129"/>
      </rPr>
      <t xml:space="preserve"> 예산 조정(안)</t>
    </r>
    <phoneticPr fontId="10" type="noConversion"/>
  </si>
  <si>
    <r>
      <t xml:space="preserve">2026년 </t>
    </r>
    <r>
      <rPr>
        <sz val="22"/>
        <color rgb="FFFF0000"/>
        <rFont val="HY헤드라인M"/>
        <family val="1"/>
        <charset val="129"/>
      </rPr>
      <t>기금운용계획 변경안</t>
    </r>
    <r>
      <rPr>
        <sz val="22"/>
        <rFont val="HY헤드라인M"/>
        <family val="1"/>
        <charset val="129"/>
      </rPr>
      <t xml:space="preserve"> 조정내역(안)</t>
    </r>
    <phoneticPr fontId="10" type="noConversion"/>
  </si>
  <si>
    <t>자활기금</t>
    <phoneticPr fontId="10" type="noConversion"/>
  </si>
  <si>
    <t>자원순환과</t>
    <phoneticPr fontId="10" type="noConversion"/>
  </si>
  <si>
    <t>불법투기 감시용 이동형 CCTV 설치</t>
    <phoneticPr fontId="10" type="noConversion"/>
  </si>
  <si>
    <t>자산및물품취득비</t>
    <phoneticPr fontId="10" type="noConversion"/>
  </si>
  <si>
    <t xml:space="preserve">  ○ 불법투기 감시 cctv 6대의 소규모 설치는 사업의 실효성 확보에 한계가 있으므로, 취약지역 분석 및 종합계획 수립 후 내년도 본예산에 확대 반영하고자 함.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</si>
</sst>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);[Red]\(#,##0\)"/>
    <numFmt numFmtId="177" formatCode="0_);[Red]\(0\)"/>
    <numFmt numFmtId="178" formatCode="#,##0;[Blue]&quot;△&quot;#,##0;\-"/>
    <numFmt numFmtId="179" formatCode="#,##0_ ;[Red]\-#,##0\ "/>
    <numFmt numFmtId="180" formatCode="#,##0.00_ ;[Red]\-#,##0.00\ "/>
    <numFmt numFmtId="181" formatCode="0.00_);[Red]\(0.00\)"/>
    <numFmt numFmtId="182" formatCode="0.00_ ;[Red]\-0.00\ "/>
  </numFmts>
  <fonts count="123" x14ac:knownFonts="1">
    <font>
      <sz val="11"/>
      <name val="돋움"/>
      <family val="3"/>
      <charset val="129"/>
    </font>
    <font>
      <sz val="11"/>
      <color theme="1"/>
      <name val="굴림"/>
      <family val="2"/>
      <charset val="129"/>
      <scheme val="minor"/>
    </font>
    <font>
      <sz val="11"/>
      <color theme="1"/>
      <name val="굴림"/>
      <family val="2"/>
      <charset val="129"/>
      <scheme val="minor"/>
    </font>
    <font>
      <sz val="11"/>
      <color theme="1"/>
      <name val="굴림"/>
      <family val="2"/>
      <charset val="129"/>
      <scheme val="minor"/>
    </font>
    <font>
      <sz val="11"/>
      <color theme="1"/>
      <name val="굴림"/>
      <family val="2"/>
      <charset val="129"/>
      <scheme val="minor"/>
    </font>
    <font>
      <sz val="11"/>
      <color theme="1"/>
      <name val="굴림"/>
      <family val="2"/>
      <charset val="129"/>
      <scheme val="minor"/>
    </font>
    <font>
      <sz val="11"/>
      <color theme="1"/>
      <name val="굴림"/>
      <family val="2"/>
      <charset val="129"/>
      <scheme val="minor"/>
    </font>
    <font>
      <sz val="11"/>
      <color theme="1"/>
      <name val="굴림"/>
      <family val="2"/>
      <charset val="129"/>
      <scheme val="minor"/>
    </font>
    <font>
      <sz val="11"/>
      <color theme="1"/>
      <name val="굴림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HY견명조"/>
      <family val="1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20"/>
      <name val="HY견명조"/>
      <family val="1"/>
      <charset val="129"/>
    </font>
    <font>
      <b/>
      <sz val="10"/>
      <color indexed="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10"/>
      <color indexed="20"/>
      <name val="돋움"/>
      <family val="3"/>
      <charset val="129"/>
    </font>
    <font>
      <b/>
      <sz val="10"/>
      <name val="돋움"/>
      <family val="3"/>
      <charset val="129"/>
    </font>
    <font>
      <b/>
      <sz val="20"/>
      <color indexed="10"/>
      <name val="HY견명조"/>
      <family val="1"/>
      <charset val="129"/>
    </font>
    <font>
      <b/>
      <sz val="10"/>
      <name val="굴림"/>
      <family val="3"/>
      <charset val="129"/>
    </font>
    <font>
      <sz val="11"/>
      <color theme="1"/>
      <name val="굴림"/>
      <family val="3"/>
      <charset val="129"/>
      <scheme val="minor"/>
    </font>
    <font>
      <sz val="11"/>
      <color rgb="FF3333CC"/>
      <name val="굴림"/>
      <family val="3"/>
      <charset val="129"/>
      <scheme val="minor"/>
    </font>
    <font>
      <sz val="11"/>
      <color rgb="FF3333CC"/>
      <name val="돋움"/>
      <family val="3"/>
      <charset val="129"/>
    </font>
    <font>
      <sz val="12"/>
      <color theme="1"/>
      <name val="굴림"/>
      <family val="3"/>
      <charset val="129"/>
    </font>
    <font>
      <b/>
      <sz val="10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0"/>
      <color rgb="FF0000FF"/>
      <name val="돋움"/>
      <family val="3"/>
      <charset val="129"/>
    </font>
    <font>
      <sz val="9"/>
      <color rgb="FF0000FF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rgb="FFFF0000"/>
      <name val="돋움"/>
      <family val="3"/>
      <charset val="129"/>
    </font>
    <font>
      <sz val="9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sz val="7"/>
      <color rgb="FF0000FF"/>
      <name val="돋움"/>
      <family val="3"/>
      <charset val="129"/>
    </font>
    <font>
      <b/>
      <sz val="12"/>
      <color theme="1"/>
      <name val="굴림"/>
      <family val="3"/>
      <charset val="129"/>
      <scheme val="minor"/>
    </font>
    <font>
      <sz val="12"/>
      <color theme="1"/>
      <name val="굴림"/>
      <family val="3"/>
      <charset val="129"/>
      <scheme val="minor"/>
    </font>
    <font>
      <b/>
      <sz val="12"/>
      <color indexed="8"/>
      <name val="굴림"/>
      <family val="3"/>
      <charset val="129"/>
      <scheme val="minor"/>
    </font>
    <font>
      <sz val="12"/>
      <name val="굴림"/>
      <family val="3"/>
      <charset val="129"/>
      <scheme val="major"/>
    </font>
    <font>
      <sz val="10"/>
      <name val="굴림"/>
      <family val="3"/>
      <charset val="129"/>
      <scheme val="major"/>
    </font>
    <font>
      <b/>
      <sz val="12"/>
      <color indexed="8"/>
      <name val="굴림"/>
      <family val="3"/>
      <charset val="129"/>
      <scheme val="major"/>
    </font>
    <font>
      <sz val="20"/>
      <color theme="1"/>
      <name val="굴림"/>
      <family val="3"/>
      <charset val="129"/>
      <scheme val="minor"/>
    </font>
    <font>
      <b/>
      <sz val="12"/>
      <name val="굴림"/>
      <family val="3"/>
      <charset val="129"/>
      <scheme val="major"/>
    </font>
    <font>
      <sz val="12"/>
      <color indexed="8"/>
      <name val="굴림"/>
      <family val="3"/>
      <charset val="129"/>
      <scheme val="major"/>
    </font>
    <font>
      <b/>
      <sz val="12"/>
      <color rgb="FF0000FF"/>
      <name val="굴림"/>
      <family val="3"/>
      <charset val="129"/>
    </font>
    <font>
      <sz val="9"/>
      <name val="굴림"/>
      <family val="3"/>
      <charset val="129"/>
      <scheme val="major"/>
    </font>
    <font>
      <sz val="12"/>
      <name val="굴림"/>
      <family val="3"/>
      <charset val="129"/>
      <scheme val="minor"/>
    </font>
    <font>
      <sz val="12"/>
      <color indexed="8"/>
      <name val="굴림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굴림"/>
      <family val="3"/>
      <charset val="129"/>
      <scheme val="major"/>
    </font>
    <font>
      <b/>
      <sz val="12"/>
      <color theme="1"/>
      <name val="굴림"/>
      <family val="3"/>
      <charset val="129"/>
      <scheme val="major"/>
    </font>
    <font>
      <b/>
      <sz val="12"/>
      <color rgb="FF0232FE"/>
      <name val="굴림"/>
      <family val="3"/>
      <charset val="129"/>
      <scheme val="minor"/>
    </font>
    <font>
      <b/>
      <sz val="8"/>
      <name val="굴림"/>
      <family val="3"/>
      <charset val="129"/>
    </font>
    <font>
      <sz val="9"/>
      <color indexed="81"/>
      <name val="Tahoma"/>
      <family val="2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1"/>
      <color theme="1"/>
      <name val="굴림"/>
      <family val="3"/>
      <charset val="129"/>
      <scheme val="minor"/>
    </font>
    <font>
      <sz val="8"/>
      <name val="굴림"/>
      <family val="2"/>
      <charset val="129"/>
      <scheme val="minor"/>
    </font>
    <font>
      <sz val="20"/>
      <color theme="1"/>
      <name val="HY견고딕"/>
      <family val="1"/>
      <charset val="129"/>
    </font>
    <font>
      <sz val="11"/>
      <name val="굴림"/>
      <family val="2"/>
      <charset val="129"/>
      <scheme val="minor"/>
    </font>
    <font>
      <sz val="10"/>
      <color indexed="81"/>
      <name val="굴림"/>
      <family val="3"/>
      <charset val="129"/>
      <scheme val="minor"/>
    </font>
    <font>
      <b/>
      <sz val="11"/>
      <color indexed="81"/>
      <name val="굴림"/>
      <family val="3"/>
      <charset val="129"/>
      <scheme val="minor"/>
    </font>
    <font>
      <b/>
      <sz val="11"/>
      <color rgb="FFFF0000"/>
      <name val="굴림"/>
      <family val="3"/>
      <charset val="129"/>
      <scheme val="major"/>
    </font>
    <font>
      <b/>
      <sz val="11"/>
      <name val="굴림"/>
      <family val="3"/>
      <charset val="129"/>
      <scheme val="maj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0"/>
      <name val="굴림"/>
      <family val="3"/>
      <charset val="129"/>
      <scheme val="major"/>
    </font>
    <font>
      <b/>
      <sz val="10"/>
      <color theme="1"/>
      <name val="굴림"/>
      <family val="3"/>
      <charset val="129"/>
      <scheme val="major"/>
    </font>
    <font>
      <sz val="10"/>
      <color theme="1"/>
      <name val="굴림"/>
      <family val="3"/>
      <charset val="129"/>
      <scheme val="major"/>
    </font>
    <font>
      <sz val="22"/>
      <name val="HY헤드라인M"/>
      <family val="1"/>
      <charset val="129"/>
    </font>
    <font>
      <sz val="22"/>
      <color rgb="FFFF0000"/>
      <name val="HY헤드라인M"/>
      <family val="1"/>
      <charset val="129"/>
    </font>
    <font>
      <sz val="22"/>
      <color indexed="10"/>
      <name val="HY헤드라인M"/>
      <family val="1"/>
      <charset val="129"/>
    </font>
    <font>
      <b/>
      <sz val="10"/>
      <color theme="1"/>
      <name val="굴림"/>
      <family val="3"/>
      <charset val="129"/>
      <scheme val="minor"/>
    </font>
    <font>
      <b/>
      <sz val="12"/>
      <color rgb="FFC00000"/>
      <name val="굴림"/>
      <family val="3"/>
      <charset val="129"/>
    </font>
    <font>
      <b/>
      <sz val="12"/>
      <color rgb="FF1919F3"/>
      <name val="굴림"/>
      <family val="3"/>
      <charset val="129"/>
      <scheme val="minor"/>
    </font>
    <font>
      <sz val="12"/>
      <color rgb="FF1919F3"/>
      <name val="굴림"/>
      <family val="3"/>
      <charset val="129"/>
      <scheme val="minor"/>
    </font>
    <font>
      <sz val="11"/>
      <name val="굴림"/>
      <family val="3"/>
      <charset val="129"/>
      <scheme val="minor"/>
    </font>
    <font>
      <sz val="8"/>
      <color theme="1"/>
      <name val="굴림"/>
      <family val="2"/>
      <charset val="129"/>
      <scheme val="minor"/>
    </font>
    <font>
      <b/>
      <sz val="9"/>
      <color indexed="81"/>
      <name val="Tahoma"/>
      <family val="2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9"/>
      <color indexed="81"/>
      <name val="돋움"/>
      <family val="3"/>
      <charset val="129"/>
    </font>
    <font>
      <sz val="20"/>
      <color rgb="FF0232FE"/>
      <name val="HY헤드라인M"/>
      <family val="1"/>
      <charset val="129"/>
    </font>
    <font>
      <sz val="18"/>
      <color rgb="FF0232FE"/>
      <name val="HY헤드라인M"/>
      <family val="1"/>
      <charset val="129"/>
    </font>
    <font>
      <sz val="20"/>
      <color indexed="8"/>
      <name val="HY헤드라인M"/>
      <family val="1"/>
      <charset val="129"/>
    </font>
    <font>
      <sz val="20"/>
      <color rgb="FFFF0000"/>
      <name val="HY헤드라인M"/>
      <family val="1"/>
      <charset val="129"/>
    </font>
    <font>
      <sz val="11"/>
      <color rgb="FF000000"/>
      <name val="굴림"/>
      <family val="3"/>
      <charset val="129"/>
      <scheme val="minor"/>
    </font>
    <font>
      <sz val="8"/>
      <name val="굴림"/>
      <family val="3"/>
      <charset val="129"/>
      <scheme val="major"/>
    </font>
    <font>
      <sz val="6"/>
      <name val="굴림"/>
      <family val="3"/>
      <charset val="129"/>
      <scheme val="major"/>
    </font>
    <font>
      <b/>
      <sz val="9"/>
      <name val="굴림"/>
      <family val="3"/>
      <charset val="129"/>
      <scheme val="major"/>
    </font>
    <font>
      <b/>
      <sz val="11"/>
      <color indexed="39"/>
      <name val="돋움"/>
      <family val="3"/>
      <charset val="129"/>
    </font>
    <font>
      <b/>
      <sz val="10"/>
      <color indexed="81"/>
      <name val="굴림"/>
      <family val="3"/>
      <charset val="129"/>
    </font>
    <font>
      <b/>
      <sz val="9"/>
      <color indexed="14"/>
      <name val="돋움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9"/>
      <name val="굴림"/>
      <family val="3"/>
      <charset val="129"/>
    </font>
    <font>
      <sz val="14"/>
      <name val="굴림"/>
      <family val="3"/>
      <charset val="129"/>
    </font>
    <font>
      <sz val="14"/>
      <color theme="1"/>
      <name val="굴림"/>
      <family val="3"/>
      <charset val="129"/>
    </font>
    <font>
      <b/>
      <sz val="14"/>
      <color theme="9" tint="-0.499984740745262"/>
      <name val="돋움"/>
      <family val="3"/>
      <charset val="129"/>
    </font>
    <font>
      <b/>
      <sz val="11"/>
      <name val="굴림"/>
      <family val="3"/>
      <charset val="129"/>
      <scheme val="minor"/>
    </font>
    <font>
      <b/>
      <sz val="11"/>
      <color rgb="FFFF0000"/>
      <name val="굴림"/>
      <family val="3"/>
      <charset val="129"/>
      <scheme val="minor"/>
    </font>
    <font>
      <b/>
      <sz val="11"/>
      <color rgb="FF1919F3"/>
      <name val="굴림"/>
      <family val="3"/>
      <charset val="129"/>
      <scheme val="minor"/>
    </font>
    <font>
      <b/>
      <sz val="11"/>
      <color rgb="FF0000FF"/>
      <name val="굴림"/>
      <family val="3"/>
      <charset val="129"/>
      <scheme val="minor"/>
    </font>
    <font>
      <b/>
      <sz val="11"/>
      <color rgb="FF000000"/>
      <name val="굴림"/>
      <family val="3"/>
      <charset val="129"/>
      <scheme val="minor"/>
    </font>
    <font>
      <sz val="11"/>
      <color indexed="8"/>
      <name val="굴림"/>
      <family val="3"/>
      <charset val="129"/>
      <scheme val="minor"/>
    </font>
    <font>
      <b/>
      <sz val="11"/>
      <color indexed="8"/>
      <name val="굴림"/>
      <family val="3"/>
      <charset val="129"/>
      <scheme val="minor"/>
    </font>
    <font>
      <sz val="11"/>
      <color rgb="FFFF0000"/>
      <name val="굴림"/>
      <family val="3"/>
      <charset val="129"/>
      <scheme val="minor"/>
    </font>
    <font>
      <sz val="11"/>
      <color rgb="FF1919F3"/>
      <name val="굴림"/>
      <family val="3"/>
      <charset val="129"/>
      <scheme val="minor"/>
    </font>
    <font>
      <sz val="11"/>
      <color rgb="FF0000FF"/>
      <name val="굴림"/>
      <family val="3"/>
      <charset val="129"/>
      <scheme val="minor"/>
    </font>
    <font>
      <b/>
      <sz val="10"/>
      <color indexed="39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10"/>
      <name val="굴림"/>
      <family val="3"/>
      <charset val="129"/>
    </font>
    <font>
      <b/>
      <sz val="9"/>
      <color indexed="81"/>
      <name val="굴림"/>
      <family val="3"/>
      <charset val="129"/>
    </font>
    <font>
      <b/>
      <sz val="10"/>
      <color indexed="38"/>
      <name val="돋움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DB5FA"/>
        <bgColor indexed="64"/>
      </patternFill>
    </fill>
    <fill>
      <patternFill patternType="solid">
        <fgColor theme="2" tint="-9.9948118533890809E-2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theme="1"/>
      </left>
      <right/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 style="medium">
        <color theme="1"/>
      </left>
      <right style="thin">
        <color indexed="8"/>
      </right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/>
      <top style="medium">
        <color theme="1"/>
      </top>
      <bottom/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 style="thin">
        <color indexed="8"/>
      </right>
      <top/>
      <bottom style="thin">
        <color indexed="64"/>
      </bottom>
      <diagonal/>
    </border>
    <border>
      <left style="medium">
        <color theme="1"/>
      </left>
      <right style="thin">
        <color indexed="8"/>
      </right>
      <top/>
      <bottom/>
      <diagonal/>
    </border>
    <border>
      <left/>
      <right style="medium">
        <color theme="1"/>
      </right>
      <top style="thin">
        <color indexed="8"/>
      </top>
      <bottom style="thin">
        <color indexed="8"/>
      </bottom>
      <diagonal/>
    </border>
    <border>
      <left style="medium">
        <color theme="1"/>
      </left>
      <right style="thin">
        <color indexed="8"/>
      </right>
      <top style="thin">
        <color indexed="8"/>
      </top>
      <bottom/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indexed="8"/>
      </right>
      <top/>
      <bottom style="thin">
        <color indexed="8"/>
      </bottom>
      <diagonal/>
    </border>
    <border>
      <left style="medium">
        <color theme="1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theme="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theme="1"/>
      </right>
      <top style="thick">
        <color rgb="FFFF0000"/>
      </top>
      <bottom style="thin">
        <color theme="1"/>
      </bottom>
      <diagonal/>
    </border>
    <border>
      <left style="thin">
        <color theme="1"/>
      </left>
      <right style="thick">
        <color rgb="FFFF0000"/>
      </right>
      <top style="thick">
        <color rgb="FFFF0000"/>
      </top>
      <bottom style="thin">
        <color theme="1"/>
      </bottom>
      <diagonal/>
    </border>
    <border>
      <left style="thick">
        <color rgb="FFFF0000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ck">
        <color rgb="FFFF0000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 style="medium">
        <color rgb="FF0000FF"/>
      </right>
      <top style="thin">
        <color indexed="64"/>
      </top>
      <bottom style="medium">
        <color rgb="FF0000FF"/>
      </bottom>
      <diagonal/>
    </border>
    <border>
      <left style="thick">
        <color rgb="FFFF0000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ck">
        <color rgb="FFFF0000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ck">
        <color rgb="FFFF0000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ck">
        <color rgb="FFFF0000"/>
      </right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ck">
        <color rgb="FFFF0000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ck">
        <color rgb="FFFF0000"/>
      </right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medium">
        <color theme="1"/>
      </right>
      <top style="thin">
        <color indexed="64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1">
    <xf numFmtId="0" fontId="0" fillId="0" borderId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2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77">
    <xf numFmtId="0" fontId="0" fillId="0" borderId="0" xfId="0"/>
    <xf numFmtId="0" fontId="0" fillId="0" borderId="0" xfId="0" applyAlignment="1">
      <alignment vertical="center"/>
    </xf>
    <xf numFmtId="41" fontId="0" fillId="0" borderId="0" xfId="1" applyFont="1"/>
    <xf numFmtId="0" fontId="28" fillId="0" borderId="0" xfId="3">
      <alignment vertical="center"/>
    </xf>
    <xf numFmtId="178" fontId="28" fillId="0" borderId="0" xfId="3" applyNumberFormat="1">
      <alignment vertical="center"/>
    </xf>
    <xf numFmtId="0" fontId="17" fillId="0" borderId="0" xfId="3" applyFont="1">
      <alignment vertical="center"/>
    </xf>
    <xf numFmtId="178" fontId="17" fillId="0" borderId="0" xfId="3" applyNumberFormat="1" applyFont="1">
      <alignment vertical="center"/>
    </xf>
    <xf numFmtId="0" fontId="29" fillId="0" borderId="0" xfId="3" applyFont="1">
      <alignment vertical="center"/>
    </xf>
    <xf numFmtId="0" fontId="30" fillId="0" borderId="0" xfId="0" applyFont="1" applyAlignment="1">
      <alignment vertical="center"/>
    </xf>
    <xf numFmtId="178" fontId="29" fillId="0" borderId="0" xfId="3" applyNumberFormat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vertical="center"/>
    </xf>
    <xf numFmtId="41" fontId="12" fillId="2" borderId="1" xfId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1" fillId="0" borderId="5" xfId="0" applyFont="1" applyBorder="1" applyAlignment="1">
      <alignment vertical="center"/>
    </xf>
    <xf numFmtId="41" fontId="12" fillId="2" borderId="2" xfId="1" applyFont="1" applyFill="1" applyBorder="1" applyAlignment="1">
      <alignment horizontal="center" vertical="center" wrapText="1"/>
    </xf>
    <xf numFmtId="41" fontId="20" fillId="0" borderId="2" xfId="2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41" fontId="20" fillId="0" borderId="3" xfId="2" applyFont="1" applyBorder="1" applyAlignment="1">
      <alignment horizontal="center" vertical="center" wrapText="1"/>
    </xf>
    <xf numFmtId="41" fontId="20" fillId="0" borderId="3" xfId="2" applyFont="1" applyBorder="1" applyAlignment="1">
      <alignment horizontal="center" vertical="center"/>
    </xf>
    <xf numFmtId="0" fontId="20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20" fillId="0" borderId="4" xfId="0" applyFont="1" applyBorder="1" applyAlignment="1">
      <alignment horizontal="center" vertical="center"/>
    </xf>
    <xf numFmtId="41" fontId="20" fillId="0" borderId="4" xfId="2" applyFont="1" applyBorder="1" applyAlignment="1">
      <alignment horizontal="center" vertical="center" wrapText="1"/>
    </xf>
    <xf numFmtId="41" fontId="20" fillId="0" borderId="4" xfId="2" applyFont="1" applyBorder="1" applyAlignment="1">
      <alignment horizontal="center" vertical="center"/>
    </xf>
    <xf numFmtId="41" fontId="20" fillId="0" borderId="2" xfId="2" applyFont="1" applyBorder="1" applyAlignment="1">
      <alignment horizontal="center" vertical="center"/>
    </xf>
    <xf numFmtId="0" fontId="20" fillId="0" borderId="4" xfId="0" applyFont="1" applyBorder="1" applyAlignment="1">
      <alignment vertical="center" wrapText="1"/>
    </xf>
    <xf numFmtId="41" fontId="20" fillId="0" borderId="3" xfId="2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vertical="center" wrapText="1"/>
    </xf>
    <xf numFmtId="41" fontId="20" fillId="0" borderId="3" xfId="0" applyNumberFormat="1" applyFont="1" applyFill="1" applyBorder="1" applyAlignment="1">
      <alignment horizontal="center" vertical="center"/>
    </xf>
    <xf numFmtId="41" fontId="20" fillId="3" borderId="1" xfId="2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41" fontId="20" fillId="3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41" fontId="23" fillId="0" borderId="3" xfId="2" applyFont="1" applyBorder="1" applyAlignment="1">
      <alignment horizontal="center" vertical="center"/>
    </xf>
    <xf numFmtId="41" fontId="23" fillId="3" borderId="1" xfId="0" applyNumberFormat="1" applyFont="1" applyFill="1" applyBorder="1" applyAlignment="1">
      <alignment horizontal="center" vertical="center"/>
    </xf>
    <xf numFmtId="41" fontId="12" fillId="3" borderId="1" xfId="2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41" fontId="23" fillId="3" borderId="1" xfId="0" applyNumberFormat="1" applyFont="1" applyFill="1" applyBorder="1" applyAlignment="1">
      <alignment horizontal="right" vertical="center"/>
    </xf>
    <xf numFmtId="0" fontId="20" fillId="0" borderId="2" xfId="0" applyFont="1" applyBorder="1" applyAlignment="1">
      <alignment vertical="center" wrapText="1"/>
    </xf>
    <xf numFmtId="0" fontId="32" fillId="3" borderId="1" xfId="0" applyFont="1" applyFill="1" applyBorder="1" applyAlignment="1">
      <alignment horizontal="center" vertical="center"/>
    </xf>
    <xf numFmtId="41" fontId="12" fillId="3" borderId="1" xfId="1" applyFont="1" applyFill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41" fontId="12" fillId="3" borderId="1" xfId="1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3" fontId="20" fillId="0" borderId="3" xfId="1" applyNumberFormat="1" applyFont="1" applyBorder="1" applyAlignment="1">
      <alignment horizontal="right" vertical="center"/>
    </xf>
    <xf numFmtId="3" fontId="20" fillId="0" borderId="4" xfId="1" applyNumberFormat="1" applyFont="1" applyBorder="1" applyAlignment="1">
      <alignment horizontal="right" vertical="center"/>
    </xf>
    <xf numFmtId="3" fontId="0" fillId="0" borderId="2" xfId="1" applyNumberFormat="1" applyFont="1" applyBorder="1" applyAlignment="1">
      <alignment horizontal="right" vertical="center"/>
    </xf>
    <xf numFmtId="3" fontId="0" fillId="0" borderId="3" xfId="1" applyNumberFormat="1" applyFont="1" applyBorder="1" applyAlignment="1">
      <alignment horizontal="right" vertical="center"/>
    </xf>
    <xf numFmtId="3" fontId="0" fillId="0" borderId="4" xfId="1" applyNumberFormat="1" applyFont="1" applyBorder="1" applyAlignment="1">
      <alignment horizontal="right" vertical="center"/>
    </xf>
    <xf numFmtId="3" fontId="20" fillId="0" borderId="3" xfId="1" applyNumberFormat="1" applyFont="1" applyFill="1" applyBorder="1" applyAlignment="1">
      <alignment horizontal="right" vertical="center"/>
    </xf>
    <xf numFmtId="0" fontId="33" fillId="0" borderId="3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41" fontId="12" fillId="4" borderId="4" xfId="1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center" vertical="center" wrapText="1"/>
    </xf>
    <xf numFmtId="41" fontId="20" fillId="4" borderId="4" xfId="1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25" fillId="4" borderId="4" xfId="0" applyFont="1" applyFill="1" applyBorder="1" applyAlignment="1">
      <alignment horizontal="center" vertical="center"/>
    </xf>
    <xf numFmtId="41" fontId="0" fillId="0" borderId="2" xfId="2" applyFont="1" applyBorder="1" applyAlignment="1">
      <alignment horizontal="center" vertical="center"/>
    </xf>
    <xf numFmtId="41" fontId="34" fillId="0" borderId="3" xfId="2" applyFont="1" applyBorder="1" applyAlignment="1">
      <alignment horizontal="center" vertical="center" wrapText="1"/>
    </xf>
    <xf numFmtId="41" fontId="34" fillId="0" borderId="3" xfId="2" applyFont="1" applyBorder="1" applyAlignment="1">
      <alignment horizontal="center" vertical="center"/>
    </xf>
    <xf numFmtId="0" fontId="35" fillId="0" borderId="3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41" fontId="37" fillId="0" borderId="3" xfId="2" applyFont="1" applyBorder="1" applyAlignment="1">
      <alignment horizontal="center" vertical="center" wrapText="1"/>
    </xf>
    <xf numFmtId="0" fontId="38" fillId="0" borderId="3" xfId="0" applyFont="1" applyBorder="1" applyAlignment="1">
      <alignment vertical="center" wrapText="1"/>
    </xf>
    <xf numFmtId="41" fontId="33" fillId="0" borderId="3" xfId="2" applyFont="1" applyBorder="1" applyAlignment="1">
      <alignment horizontal="center" vertical="center"/>
    </xf>
    <xf numFmtId="41" fontId="36" fillId="0" borderId="3" xfId="2" applyFont="1" applyBorder="1" applyAlignment="1">
      <alignment horizontal="center" vertical="center"/>
    </xf>
    <xf numFmtId="41" fontId="36" fillId="0" borderId="3" xfId="2" applyFont="1" applyBorder="1" applyAlignment="1">
      <alignment horizontal="right" vertical="center"/>
    </xf>
    <xf numFmtId="41" fontId="36" fillId="0" borderId="4" xfId="2" applyFont="1" applyBorder="1" applyAlignment="1">
      <alignment horizontal="right" vertical="center"/>
    </xf>
    <xf numFmtId="0" fontId="21" fillId="0" borderId="2" xfId="0" applyFont="1" applyBorder="1" applyAlignment="1">
      <alignment vertical="center"/>
    </xf>
    <xf numFmtId="41" fontId="36" fillId="0" borderId="6" xfId="2" applyFont="1" applyBorder="1" applyAlignment="1">
      <alignment horizontal="center" vertical="center" wrapText="1"/>
    </xf>
    <xf numFmtId="41" fontId="39" fillId="0" borderId="3" xfId="2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41" fontId="20" fillId="0" borderId="9" xfId="0" applyNumberFormat="1" applyFont="1" applyBorder="1" applyAlignment="1">
      <alignment horizontal="center" vertical="center"/>
    </xf>
    <xf numFmtId="177" fontId="34" fillId="0" borderId="9" xfId="0" applyNumberFormat="1" applyFont="1" applyBorder="1" applyAlignment="1">
      <alignment horizontal="right" vertical="center"/>
    </xf>
    <xf numFmtId="41" fontId="0" fillId="0" borderId="10" xfId="0" applyNumberFormat="1" applyFont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40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41" fontId="21" fillId="4" borderId="13" xfId="1" applyFont="1" applyFill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41" fontId="20" fillId="3" borderId="14" xfId="0" applyNumberFormat="1" applyFont="1" applyFill="1" applyBorder="1" applyAlignment="1">
      <alignment horizontal="center" vertical="center"/>
    </xf>
    <xf numFmtId="41" fontId="20" fillId="0" borderId="10" xfId="0" applyNumberFormat="1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41" fontId="20" fillId="0" borderId="9" xfId="0" applyNumberFormat="1" applyFont="1" applyFill="1" applyBorder="1" applyAlignment="1">
      <alignment horizontal="center" vertical="center"/>
    </xf>
    <xf numFmtId="41" fontId="20" fillId="4" borderId="7" xfId="1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  <xf numFmtId="0" fontId="32" fillId="0" borderId="15" xfId="0" applyFont="1" applyBorder="1" applyAlignment="1">
      <alignment vertical="center" wrapText="1"/>
    </xf>
    <xf numFmtId="0" fontId="24" fillId="0" borderId="15" xfId="0" applyFont="1" applyBorder="1" applyAlignment="1">
      <alignment vertical="center" wrapText="1"/>
    </xf>
    <xf numFmtId="0" fontId="20" fillId="4" borderId="8" xfId="0" applyFont="1" applyFill="1" applyBorder="1" applyAlignment="1">
      <alignment horizontal="center" vertical="center"/>
    </xf>
    <xf numFmtId="41" fontId="20" fillId="4" borderId="13" xfId="1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vertical="center"/>
    </xf>
    <xf numFmtId="0" fontId="32" fillId="0" borderId="7" xfId="0" applyFont="1" applyBorder="1" applyAlignment="1">
      <alignment vertical="center" wrapText="1"/>
    </xf>
    <xf numFmtId="41" fontId="20" fillId="0" borderId="16" xfId="0" applyNumberFormat="1" applyFont="1" applyBorder="1" applyAlignment="1">
      <alignment horizontal="center" vertical="center"/>
    </xf>
    <xf numFmtId="41" fontId="0" fillId="0" borderId="9" xfId="0" applyNumberFormat="1" applyFont="1" applyBorder="1" applyAlignment="1">
      <alignment horizontal="center" vertical="center"/>
    </xf>
    <xf numFmtId="41" fontId="12" fillId="4" borderId="13" xfId="1" applyFont="1" applyFill="1" applyBorder="1" applyAlignment="1">
      <alignment horizontal="center" vertical="center"/>
    </xf>
    <xf numFmtId="0" fontId="0" fillId="3" borderId="14" xfId="0" applyFont="1" applyFill="1" applyBorder="1" applyAlignment="1">
      <alignment horizontal="center" vertical="center"/>
    </xf>
    <xf numFmtId="41" fontId="0" fillId="0" borderId="16" xfId="0" applyNumberFormat="1" applyFont="1" applyBorder="1" applyAlignment="1">
      <alignment horizontal="center" vertical="center"/>
    </xf>
    <xf numFmtId="41" fontId="37" fillId="0" borderId="9" xfId="1" applyFont="1" applyBorder="1" applyAlignment="1">
      <alignment horizontal="right" vertical="center"/>
    </xf>
    <xf numFmtId="0" fontId="0" fillId="2" borderId="17" xfId="0" applyFill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0" fillId="0" borderId="18" xfId="0" applyFont="1" applyBorder="1" applyAlignment="1">
      <alignment vertical="center" wrapText="1"/>
    </xf>
    <xf numFmtId="41" fontId="34" fillId="0" borderId="4" xfId="2" applyFont="1" applyBorder="1" applyAlignment="1">
      <alignment horizontal="center" vertical="center" wrapText="1"/>
    </xf>
    <xf numFmtId="0" fontId="34" fillId="0" borderId="4" xfId="0" applyFont="1" applyBorder="1" applyAlignment="1">
      <alignment vertical="center" wrapText="1"/>
    </xf>
    <xf numFmtId="41" fontId="34" fillId="0" borderId="4" xfId="2" applyFont="1" applyBorder="1" applyAlignment="1">
      <alignment horizontal="center" vertical="center"/>
    </xf>
    <xf numFmtId="0" fontId="40" fillId="0" borderId="8" xfId="0" applyFont="1" applyBorder="1" applyAlignment="1">
      <alignment horizontal="left" vertical="center"/>
    </xf>
    <xf numFmtId="0" fontId="20" fillId="0" borderId="4" xfId="0" applyFont="1" applyBorder="1" applyAlignment="1">
      <alignment vertical="center"/>
    </xf>
    <xf numFmtId="0" fontId="35" fillId="0" borderId="4" xfId="0" applyFont="1" applyBorder="1" applyAlignment="1">
      <alignment vertical="center" wrapText="1"/>
    </xf>
    <xf numFmtId="41" fontId="42" fillId="0" borderId="4" xfId="2" applyFont="1" applyBorder="1" applyAlignment="1">
      <alignment horizontal="center" vertical="center"/>
    </xf>
    <xf numFmtId="3" fontId="42" fillId="0" borderId="4" xfId="1" applyNumberFormat="1" applyFont="1" applyBorder="1" applyAlignment="1">
      <alignment horizontal="right" vertical="center"/>
    </xf>
    <xf numFmtId="41" fontId="43" fillId="0" borderId="4" xfId="2" applyFont="1" applyBorder="1" applyAlignment="1">
      <alignment horizontal="center" vertical="center"/>
    </xf>
    <xf numFmtId="3" fontId="35" fillId="0" borderId="4" xfId="1" applyNumberFormat="1" applyFont="1" applyBorder="1" applyAlignment="1">
      <alignment horizontal="right" vertical="center"/>
    </xf>
    <xf numFmtId="177" fontId="34" fillId="0" borderId="10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0" fillId="0" borderId="5" xfId="0" applyFont="1" applyBorder="1" applyAlignment="1">
      <alignment horizontal="left" vertical="center" wrapText="1" shrinkToFit="1"/>
    </xf>
    <xf numFmtId="41" fontId="10" fillId="0" borderId="19" xfId="2" applyFont="1" applyBorder="1" applyAlignment="1">
      <alignment horizontal="center" vertical="center"/>
    </xf>
    <xf numFmtId="41" fontId="33" fillId="0" borderId="15" xfId="2" applyFont="1" applyBorder="1" applyAlignment="1">
      <alignment horizontal="center" vertical="center"/>
    </xf>
    <xf numFmtId="41" fontId="0" fillId="0" borderId="20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41" fontId="12" fillId="3" borderId="1" xfId="1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41" fontId="12" fillId="4" borderId="14" xfId="1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177" fontId="0" fillId="0" borderId="2" xfId="1" applyNumberFormat="1" applyFont="1" applyBorder="1" applyAlignment="1">
      <alignment horizontal="right" vertical="center"/>
    </xf>
    <xf numFmtId="177" fontId="0" fillId="0" borderId="3" xfId="1" applyNumberFormat="1" applyFont="1" applyBorder="1" applyAlignment="1">
      <alignment horizontal="right" vertical="center"/>
    </xf>
    <xf numFmtId="177" fontId="0" fillId="0" borderId="4" xfId="1" applyNumberFormat="1" applyFont="1" applyBorder="1" applyAlignment="1">
      <alignment horizontal="right" vertical="center"/>
    </xf>
    <xf numFmtId="41" fontId="20" fillId="3" borderId="1" xfId="2" applyFont="1" applyFill="1" applyBorder="1" applyAlignment="1">
      <alignment horizontal="center" vertical="center" wrapText="1"/>
    </xf>
    <xf numFmtId="0" fontId="36" fillId="0" borderId="6" xfId="0" applyFont="1" applyBorder="1" applyAlignment="1">
      <alignment horizontal="left" vertical="center" wrapText="1"/>
    </xf>
    <xf numFmtId="41" fontId="36" fillId="0" borderId="9" xfId="0" applyNumberFormat="1" applyFont="1" applyBorder="1" applyAlignment="1">
      <alignment horizontal="right" vertical="center"/>
    </xf>
    <xf numFmtId="41" fontId="36" fillId="0" borderId="10" xfId="0" applyNumberFormat="1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41" fontId="34" fillId="0" borderId="3" xfId="2" applyFont="1" applyFill="1" applyBorder="1" applyAlignment="1">
      <alignment horizontal="center" vertical="center" wrapText="1"/>
    </xf>
    <xf numFmtId="41" fontId="36" fillId="0" borderId="9" xfId="0" applyNumberFormat="1" applyFont="1" applyFill="1" applyBorder="1" applyAlignment="1">
      <alignment horizontal="center" vertical="center"/>
    </xf>
    <xf numFmtId="0" fontId="36" fillId="0" borderId="6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/>
    </xf>
    <xf numFmtId="0" fontId="10" fillId="0" borderId="2" xfId="0" applyFont="1" applyBorder="1" applyAlignment="1">
      <alignment vertical="center" wrapText="1"/>
    </xf>
    <xf numFmtId="0" fontId="20" fillId="0" borderId="18" xfId="0" applyFont="1" applyBorder="1" applyAlignment="1">
      <alignment horizontal="left" vertical="center" wrapText="1" shrinkToFit="1"/>
    </xf>
    <xf numFmtId="3" fontId="20" fillId="0" borderId="2" xfId="1" applyNumberFormat="1" applyFont="1" applyBorder="1" applyAlignment="1">
      <alignment horizontal="right" vertical="center"/>
    </xf>
    <xf numFmtId="0" fontId="32" fillId="0" borderId="3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41" fontId="12" fillId="0" borderId="3" xfId="1" applyFont="1" applyFill="1" applyBorder="1" applyAlignment="1">
      <alignment horizontal="center" vertical="center"/>
    </xf>
    <xf numFmtId="41" fontId="36" fillId="0" borderId="3" xfId="0" applyNumberFormat="1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41" fontId="20" fillId="0" borderId="20" xfId="2" applyFont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41" fontId="36" fillId="0" borderId="15" xfId="2" applyFont="1" applyFill="1" applyBorder="1" applyAlignment="1">
      <alignment horizontal="center" vertical="center"/>
    </xf>
    <xf numFmtId="41" fontId="36" fillId="0" borderId="15" xfId="2" applyFont="1" applyBorder="1" applyAlignment="1">
      <alignment horizontal="center" vertical="center"/>
    </xf>
    <xf numFmtId="41" fontId="36" fillId="0" borderId="7" xfId="2" applyFont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41" fontId="20" fillId="0" borderId="3" xfId="2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177" fontId="42" fillId="0" borderId="10" xfId="0" applyNumberFormat="1" applyFont="1" applyBorder="1" applyAlignment="1">
      <alignment horizontal="right" vertical="center"/>
    </xf>
    <xf numFmtId="0" fontId="0" fillId="0" borderId="5" xfId="0" applyFont="1" applyBorder="1" applyAlignment="1">
      <alignment horizontal="right" vertical="center"/>
    </xf>
    <xf numFmtId="0" fontId="11" fillId="0" borderId="0" xfId="0" applyFont="1" applyBorder="1" applyAlignment="1">
      <alignment vertical="center"/>
    </xf>
    <xf numFmtId="0" fontId="0" fillId="0" borderId="0" xfId="0" applyFont="1"/>
    <xf numFmtId="41" fontId="0" fillId="0" borderId="0" xfId="0" applyNumberFormat="1" applyAlignment="1">
      <alignment vertical="center"/>
    </xf>
    <xf numFmtId="0" fontId="44" fillId="0" borderId="22" xfId="3" applyFont="1" applyBorder="1" applyAlignment="1">
      <alignment horizontal="center" vertical="center" wrapText="1"/>
    </xf>
    <xf numFmtId="0" fontId="44" fillId="0" borderId="23" xfId="3" applyFont="1" applyFill="1" applyBorder="1" applyAlignment="1">
      <alignment horizontal="center" vertical="center" wrapText="1"/>
    </xf>
    <xf numFmtId="0" fontId="46" fillId="5" borderId="23" xfId="3" applyFont="1" applyFill="1" applyBorder="1" applyAlignment="1">
      <alignment horizontal="center" vertical="center" wrapText="1"/>
    </xf>
    <xf numFmtId="0" fontId="44" fillId="5" borderId="22" xfId="3" applyFont="1" applyFill="1" applyBorder="1" applyAlignment="1">
      <alignment horizontal="center" vertical="center" wrapText="1"/>
    </xf>
    <xf numFmtId="0" fontId="44" fillId="6" borderId="22" xfId="3" applyFont="1" applyFill="1" applyBorder="1" applyAlignment="1">
      <alignment horizontal="center" vertical="center" wrapText="1"/>
    </xf>
    <xf numFmtId="0" fontId="44" fillId="6" borderId="23" xfId="3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41" fontId="47" fillId="2" borderId="1" xfId="1" applyFont="1" applyFill="1" applyBorder="1" applyAlignment="1">
      <alignment horizontal="center" vertical="center"/>
    </xf>
    <xf numFmtId="41" fontId="47" fillId="2" borderId="1" xfId="1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horizontal="center" vertical="center"/>
    </xf>
    <xf numFmtId="41" fontId="47" fillId="0" borderId="1" xfId="2" applyFont="1" applyFill="1" applyBorder="1" applyAlignment="1">
      <alignment horizontal="center" vertical="center" wrapText="1"/>
    </xf>
    <xf numFmtId="0" fontId="47" fillId="0" borderId="1" xfId="0" applyFont="1" applyFill="1" applyBorder="1" applyAlignment="1">
      <alignment horizontal="center" vertical="center" shrinkToFit="1"/>
    </xf>
    <xf numFmtId="41" fontId="47" fillId="0" borderId="1" xfId="1" applyFont="1" applyFill="1" applyBorder="1" applyAlignment="1">
      <alignment horizontal="center" vertical="center"/>
    </xf>
    <xf numFmtId="3" fontId="47" fillId="0" borderId="1" xfId="2" applyNumberFormat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41" fontId="47" fillId="0" borderId="1" xfId="2" applyFont="1" applyFill="1" applyBorder="1" applyAlignment="1">
      <alignment vertical="center" wrapText="1"/>
    </xf>
    <xf numFmtId="0" fontId="48" fillId="0" borderId="1" xfId="0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center" vertical="center" wrapText="1"/>
    </xf>
    <xf numFmtId="41" fontId="47" fillId="0" borderId="1" xfId="2" applyFont="1" applyFill="1" applyBorder="1" applyAlignment="1">
      <alignment horizontal="center" vertical="center"/>
    </xf>
    <xf numFmtId="41" fontId="47" fillId="0" borderId="1" xfId="0" applyNumberFormat="1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 wrapText="1" shrinkToFit="1"/>
    </xf>
    <xf numFmtId="0" fontId="50" fillId="0" borderId="0" xfId="3" applyFont="1">
      <alignment vertical="center"/>
    </xf>
    <xf numFmtId="0" fontId="18" fillId="0" borderId="0" xfId="0" applyFont="1" applyAlignment="1">
      <alignment horizontal="center" vertical="center"/>
    </xf>
    <xf numFmtId="0" fontId="47" fillId="2" borderId="1" xfId="0" applyFont="1" applyFill="1" applyBorder="1" applyAlignment="1">
      <alignment horizontal="center" vertical="center"/>
    </xf>
    <xf numFmtId="41" fontId="47" fillId="2" borderId="1" xfId="1" applyFont="1" applyFill="1" applyBorder="1" applyAlignment="1">
      <alignment horizontal="center" vertical="center" wrapText="1"/>
    </xf>
    <xf numFmtId="41" fontId="47" fillId="2" borderId="1" xfId="1" applyFont="1" applyFill="1" applyBorder="1" applyAlignment="1">
      <alignment horizontal="center" vertical="center"/>
    </xf>
    <xf numFmtId="0" fontId="47" fillId="7" borderId="1" xfId="0" applyFont="1" applyFill="1" applyBorder="1" applyAlignment="1">
      <alignment horizontal="center" vertical="center" wrapText="1" shrinkToFit="1"/>
    </xf>
    <xf numFmtId="0" fontId="47" fillId="7" borderId="1" xfId="0" applyFont="1" applyFill="1" applyBorder="1" applyAlignment="1">
      <alignment horizontal="center" vertical="center"/>
    </xf>
    <xf numFmtId="41" fontId="47" fillId="7" borderId="1" xfId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51" fillId="7" borderId="1" xfId="0" applyFont="1" applyFill="1" applyBorder="1" applyAlignment="1">
      <alignment horizontal="center" vertical="center"/>
    </xf>
    <xf numFmtId="41" fontId="47" fillId="7" borderId="1" xfId="0" applyNumberFormat="1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horizontal="center" vertical="center" wrapText="1"/>
    </xf>
    <xf numFmtId="0" fontId="47" fillId="8" borderId="1" xfId="0" applyFont="1" applyFill="1" applyBorder="1" applyAlignment="1">
      <alignment horizontal="center" vertical="center" wrapText="1" shrinkToFit="1"/>
    </xf>
    <xf numFmtId="0" fontId="52" fillId="8" borderId="1" xfId="0" applyFont="1" applyFill="1" applyBorder="1" applyAlignment="1">
      <alignment horizontal="center" vertical="center" wrapText="1"/>
    </xf>
    <xf numFmtId="41" fontId="47" fillId="8" borderId="1" xfId="2" applyFont="1" applyFill="1" applyBorder="1" applyAlignment="1">
      <alignment horizontal="center" vertical="center"/>
    </xf>
    <xf numFmtId="0" fontId="47" fillId="8" borderId="1" xfId="0" applyFont="1" applyFill="1" applyBorder="1" applyAlignment="1">
      <alignment horizontal="center" vertical="center"/>
    </xf>
    <xf numFmtId="41" fontId="47" fillId="8" borderId="1" xfId="0" applyNumberFormat="1" applyFont="1" applyFill="1" applyBorder="1" applyAlignment="1">
      <alignment horizontal="center" vertical="center"/>
    </xf>
    <xf numFmtId="41" fontId="47" fillId="8" borderId="1" xfId="1" applyFont="1" applyFill="1" applyBorder="1" applyAlignment="1">
      <alignment horizontal="center" vertical="center"/>
    </xf>
    <xf numFmtId="3" fontId="47" fillId="8" borderId="1" xfId="2" applyNumberFormat="1" applyFont="1" applyFill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41" fontId="54" fillId="0" borderId="1" xfId="2" applyFont="1" applyFill="1" applyBorder="1" applyAlignment="1">
      <alignment horizontal="center" vertical="center" wrapText="1"/>
    </xf>
    <xf numFmtId="0" fontId="0" fillId="0" borderId="27" xfId="0" applyBorder="1" applyAlignment="1">
      <alignment vertical="center"/>
    </xf>
    <xf numFmtId="0" fontId="30" fillId="0" borderId="27" xfId="0" applyFont="1" applyBorder="1" applyAlignment="1">
      <alignment vertical="center"/>
    </xf>
    <xf numFmtId="0" fontId="0" fillId="0" borderId="28" xfId="0" applyBorder="1" applyAlignment="1">
      <alignment vertical="center"/>
    </xf>
    <xf numFmtId="178" fontId="44" fillId="9" borderId="12" xfId="3" applyNumberFormat="1" applyFont="1" applyFill="1" applyBorder="1" applyAlignment="1">
      <alignment horizontal="center" vertical="center" wrapText="1"/>
    </xf>
    <xf numFmtId="0" fontId="44" fillId="10" borderId="22" xfId="3" applyFont="1" applyFill="1" applyBorder="1" applyAlignment="1">
      <alignment horizontal="center" vertical="center" wrapText="1"/>
    </xf>
    <xf numFmtId="0" fontId="56" fillId="0" borderId="0" xfId="3" applyFont="1" applyBorder="1" applyAlignment="1">
      <alignment horizontal="right" vertical="center"/>
    </xf>
    <xf numFmtId="0" fontId="44" fillId="10" borderId="45" xfId="3" applyFont="1" applyFill="1" applyBorder="1" applyAlignment="1">
      <alignment horizontal="center" vertical="center" wrapText="1"/>
    </xf>
    <xf numFmtId="0" fontId="44" fillId="0" borderId="49" xfId="3" applyFont="1" applyFill="1" applyBorder="1" applyAlignment="1">
      <alignment horizontal="center" vertical="center" wrapText="1"/>
    </xf>
    <xf numFmtId="41" fontId="28" fillId="0" borderId="0" xfId="2" applyFont="1" applyAlignment="1">
      <alignment vertical="center"/>
    </xf>
    <xf numFmtId="0" fontId="60" fillId="5" borderId="23" xfId="3" applyFont="1" applyFill="1" applyBorder="1" applyAlignment="1">
      <alignment horizontal="center"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center" vertical="center"/>
    </xf>
    <xf numFmtId="0" fontId="55" fillId="0" borderId="0" xfId="0" applyFont="1" applyBorder="1" applyAlignment="1">
      <alignment horizontal="right" vertical="center"/>
    </xf>
    <xf numFmtId="0" fontId="13" fillId="0" borderId="30" xfId="0" applyFont="1" applyBorder="1" applyAlignment="1">
      <alignment vertical="center"/>
    </xf>
    <xf numFmtId="0" fontId="13" fillId="0" borderId="52" xfId="0" applyFont="1" applyBorder="1" applyAlignment="1">
      <alignment vertical="center"/>
    </xf>
    <xf numFmtId="179" fontId="53" fillId="8" borderId="51" xfId="1" applyNumberFormat="1" applyFont="1" applyFill="1" applyBorder="1" applyAlignment="1">
      <alignment horizontal="right" vertical="center" shrinkToFit="1"/>
    </xf>
    <xf numFmtId="179" fontId="53" fillId="8" borderId="50" xfId="1" applyNumberFormat="1" applyFont="1" applyFill="1" applyBorder="1" applyAlignment="1">
      <alignment horizontal="right" vertical="center" shrinkToFit="1"/>
    </xf>
    <xf numFmtId="179" fontId="53" fillId="5" borderId="51" xfId="1" applyNumberFormat="1" applyFont="1" applyFill="1" applyBorder="1" applyAlignment="1">
      <alignment horizontal="right" vertical="center" shrinkToFit="1"/>
    </xf>
    <xf numFmtId="179" fontId="53" fillId="0" borderId="51" xfId="1" applyNumberFormat="1" applyFont="1" applyBorder="1" applyAlignment="1">
      <alignment horizontal="right" vertical="center" shrinkToFit="1"/>
    </xf>
    <xf numFmtId="179" fontId="47" fillId="0" borderId="1" xfId="2" applyNumberFormat="1" applyFont="1" applyFill="1" applyBorder="1" applyAlignment="1">
      <alignment horizontal="right" vertical="center"/>
    </xf>
    <xf numFmtId="0" fontId="51" fillId="0" borderId="1" xfId="0" applyFont="1" applyFill="1" applyBorder="1" applyAlignment="1">
      <alignment horizontal="center" vertical="center"/>
    </xf>
    <xf numFmtId="41" fontId="51" fillId="0" borderId="1" xfId="2" applyFont="1" applyFill="1" applyBorder="1" applyAlignment="1">
      <alignment horizontal="center" vertical="center" wrapText="1"/>
    </xf>
    <xf numFmtId="41" fontId="51" fillId="0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179" fontId="51" fillId="0" borderId="1" xfId="0" applyNumberFormat="1" applyFont="1" applyFill="1" applyBorder="1" applyAlignment="1">
      <alignment horizontal="right" vertical="center"/>
    </xf>
    <xf numFmtId="179" fontId="47" fillId="12" borderId="1" xfId="2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0" fontId="50" fillId="0" borderId="0" xfId="3" applyFont="1" applyAlignment="1">
      <alignment horizontal="center" vertical="center"/>
    </xf>
    <xf numFmtId="0" fontId="28" fillId="0" borderId="0" xfId="3" applyAlignment="1">
      <alignment horizontal="center" vertical="center"/>
    </xf>
    <xf numFmtId="0" fontId="29" fillId="0" borderId="0" xfId="3" applyFont="1" applyAlignment="1">
      <alignment horizontal="center" vertical="center"/>
    </xf>
    <xf numFmtId="0" fontId="72" fillId="2" borderId="1" xfId="0" applyFont="1" applyFill="1" applyBorder="1" applyAlignment="1">
      <alignment horizontal="right" vertical="center"/>
    </xf>
    <xf numFmtId="179" fontId="51" fillId="0" borderId="11" xfId="0" applyNumberFormat="1" applyFont="1" applyFill="1" applyBorder="1" applyAlignment="1">
      <alignment horizontal="right" vertical="center"/>
    </xf>
    <xf numFmtId="179" fontId="47" fillId="12" borderId="11" xfId="2" applyNumberFormat="1" applyFont="1" applyFill="1" applyBorder="1" applyAlignment="1">
      <alignment horizontal="right" vertical="center"/>
    </xf>
    <xf numFmtId="0" fontId="51" fillId="0" borderId="12" xfId="0" applyFont="1" applyFill="1" applyBorder="1" applyAlignment="1">
      <alignment horizontal="center" vertical="center"/>
    </xf>
    <xf numFmtId="41" fontId="47" fillId="0" borderId="12" xfId="2" applyFont="1" applyFill="1" applyBorder="1" applyAlignment="1">
      <alignment horizontal="center" vertical="center"/>
    </xf>
    <xf numFmtId="179" fontId="47" fillId="0" borderId="56" xfId="2" applyNumberFormat="1" applyFont="1" applyFill="1" applyBorder="1" applyAlignment="1">
      <alignment horizontal="right" vertical="center"/>
    </xf>
    <xf numFmtId="179" fontId="51" fillId="0" borderId="57" xfId="0" applyNumberFormat="1" applyFont="1" applyFill="1" applyBorder="1" applyAlignment="1">
      <alignment horizontal="right" vertical="center"/>
    </xf>
    <xf numFmtId="179" fontId="51" fillId="0" borderId="58" xfId="0" applyNumberFormat="1" applyFont="1" applyFill="1" applyBorder="1" applyAlignment="1">
      <alignment horizontal="right" vertical="center"/>
    </xf>
    <xf numFmtId="0" fontId="51" fillId="0" borderId="8" xfId="0" applyFont="1" applyFill="1" applyBorder="1" applyAlignment="1">
      <alignment horizontal="center" vertical="center"/>
    </xf>
    <xf numFmtId="0" fontId="72" fillId="2" borderId="61" xfId="0" applyFont="1" applyFill="1" applyBorder="1" applyAlignment="1">
      <alignment horizontal="right" vertical="center"/>
    </xf>
    <xf numFmtId="0" fontId="51" fillId="2" borderId="62" xfId="0" applyFont="1" applyFill="1" applyBorder="1" applyAlignment="1">
      <alignment vertical="center"/>
    </xf>
    <xf numFmtId="0" fontId="32" fillId="0" borderId="5" xfId="0" applyFont="1" applyBorder="1" applyAlignment="1">
      <alignment vertical="center"/>
    </xf>
    <xf numFmtId="0" fontId="75" fillId="0" borderId="1" xfId="0" applyFont="1" applyFill="1" applyBorder="1" applyAlignment="1">
      <alignment horizontal="center" vertical="center"/>
    </xf>
    <xf numFmtId="0" fontId="20" fillId="0" borderId="0" xfId="0" applyFont="1"/>
    <xf numFmtId="0" fontId="25" fillId="0" borderId="5" xfId="0" applyFont="1" applyBorder="1" applyAlignment="1">
      <alignment vertical="center"/>
    </xf>
    <xf numFmtId="0" fontId="76" fillId="7" borderId="1" xfId="0" applyFont="1" applyFill="1" applyBorder="1" applyAlignment="1">
      <alignment horizontal="center" vertical="center" wrapText="1"/>
    </xf>
    <xf numFmtId="0" fontId="77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 shrinkToFit="1"/>
    </xf>
    <xf numFmtId="0" fontId="51" fillId="2" borderId="12" xfId="0" applyFont="1" applyFill="1" applyBorder="1" applyAlignment="1">
      <alignment horizontal="center" vertical="center"/>
    </xf>
    <xf numFmtId="41" fontId="48" fillId="0" borderId="12" xfId="2" applyFont="1" applyFill="1" applyBorder="1" applyAlignment="1">
      <alignment horizontal="left" vertical="center" wrapText="1"/>
    </xf>
    <xf numFmtId="0" fontId="51" fillId="2" borderId="1" xfId="0" applyFont="1" applyFill="1" applyBorder="1" applyAlignment="1">
      <alignment vertical="center"/>
    </xf>
    <xf numFmtId="0" fontId="75" fillId="0" borderId="1" xfId="0" applyFont="1" applyFill="1" applyBorder="1" applyAlignment="1">
      <alignment horizontal="center" vertical="center" wrapText="1"/>
    </xf>
    <xf numFmtId="41" fontId="75" fillId="7" borderId="12" xfId="2" applyFont="1" applyFill="1" applyBorder="1" applyAlignment="1">
      <alignment horizontal="center" vertical="center"/>
    </xf>
    <xf numFmtId="0" fontId="51" fillId="0" borderId="63" xfId="0" applyFont="1" applyFill="1" applyBorder="1" applyAlignment="1">
      <alignment horizontal="center" vertical="center"/>
    </xf>
    <xf numFmtId="41" fontId="47" fillId="0" borderId="64" xfId="2" applyFont="1" applyFill="1" applyBorder="1" applyAlignment="1">
      <alignment horizontal="center" vertical="center"/>
    </xf>
    <xf numFmtId="41" fontId="75" fillId="7" borderId="64" xfId="2" applyFont="1" applyFill="1" applyBorder="1" applyAlignment="1">
      <alignment horizontal="center" vertical="center"/>
    </xf>
    <xf numFmtId="178" fontId="44" fillId="18" borderId="12" xfId="3" applyNumberFormat="1" applyFont="1" applyFill="1" applyBorder="1" applyAlignment="1">
      <alignment horizontal="center" vertical="center" wrapText="1"/>
    </xf>
    <xf numFmtId="0" fontId="44" fillId="18" borderId="22" xfId="3" applyFont="1" applyFill="1" applyBorder="1" applyAlignment="1">
      <alignment horizontal="center" vertical="center" wrapText="1"/>
    </xf>
    <xf numFmtId="0" fontId="44" fillId="18" borderId="23" xfId="3" applyFont="1" applyFill="1" applyBorder="1" applyAlignment="1">
      <alignment horizontal="center" vertical="center" wrapText="1"/>
    </xf>
    <xf numFmtId="0" fontId="81" fillId="0" borderId="0" xfId="3" applyFont="1" applyAlignment="1">
      <alignment horizontal="center" vertical="center"/>
    </xf>
    <xf numFmtId="179" fontId="82" fillId="5" borderId="51" xfId="1" applyNumberFormat="1" applyFont="1" applyFill="1" applyBorder="1" applyAlignment="1">
      <alignment horizontal="right" vertical="center" shrinkToFit="1"/>
    </xf>
    <xf numFmtId="179" fontId="82" fillId="8" borderId="50" xfId="1" applyNumberFormat="1" applyFont="1" applyFill="1" applyBorder="1" applyAlignment="1">
      <alignment horizontal="right" vertical="center" shrinkToFit="1"/>
    </xf>
    <xf numFmtId="179" fontId="82" fillId="6" borderId="51" xfId="1" applyNumberFormat="1" applyFont="1" applyFill="1" applyBorder="1" applyAlignment="1">
      <alignment horizontal="right" vertical="center" shrinkToFit="1"/>
    </xf>
    <xf numFmtId="0" fontId="60" fillId="2" borderId="23" xfId="3" applyFont="1" applyFill="1" applyBorder="1" applyAlignment="1">
      <alignment horizontal="center" vertical="center" wrapText="1"/>
    </xf>
    <xf numFmtId="0" fontId="46" fillId="2" borderId="23" xfId="3" applyFont="1" applyFill="1" applyBorder="1" applyAlignment="1">
      <alignment horizontal="center" vertical="center" wrapText="1"/>
    </xf>
    <xf numFmtId="0" fontId="44" fillId="2" borderId="22" xfId="3" applyFont="1" applyFill="1" applyBorder="1" applyAlignment="1">
      <alignment horizontal="center" vertical="center" wrapText="1"/>
    </xf>
    <xf numFmtId="179" fontId="47" fillId="19" borderId="55" xfId="2" applyNumberFormat="1" applyFont="1" applyFill="1" applyBorder="1" applyAlignment="1">
      <alignment horizontal="right" vertical="center"/>
    </xf>
    <xf numFmtId="41" fontId="51" fillId="2" borderId="1" xfId="10" applyFont="1" applyFill="1" applyBorder="1" applyAlignment="1">
      <alignment horizontal="center" vertical="center"/>
    </xf>
    <xf numFmtId="41" fontId="51" fillId="2" borderId="1" xfId="10" applyFont="1" applyFill="1" applyBorder="1" applyAlignment="1">
      <alignment horizontal="center" vertical="center" wrapText="1"/>
    </xf>
    <xf numFmtId="41" fontId="51" fillId="0" borderId="1" xfId="10" applyFont="1" applyFill="1" applyBorder="1" applyAlignment="1">
      <alignment horizontal="center" vertical="center" wrapText="1"/>
    </xf>
    <xf numFmtId="41" fontId="51" fillId="0" borderId="1" xfId="10" applyFont="1" applyFill="1" applyBorder="1" applyAlignment="1">
      <alignment horizontal="center" vertical="center"/>
    </xf>
    <xf numFmtId="41" fontId="47" fillId="7" borderId="1" xfId="10" applyFont="1" applyFill="1" applyBorder="1" applyAlignment="1">
      <alignment horizontal="center" vertical="center" wrapText="1"/>
    </xf>
    <xf numFmtId="179" fontId="47" fillId="7" borderId="11" xfId="10" applyNumberFormat="1" applyFont="1" applyFill="1" applyBorder="1" applyAlignment="1">
      <alignment horizontal="right" vertical="center"/>
    </xf>
    <xf numFmtId="179" fontId="47" fillId="7" borderId="1" xfId="10" applyNumberFormat="1" applyFont="1" applyFill="1" applyBorder="1" applyAlignment="1">
      <alignment horizontal="right" vertical="center"/>
    </xf>
    <xf numFmtId="41" fontId="47" fillId="7" borderId="12" xfId="10" applyFont="1" applyFill="1" applyBorder="1" applyAlignment="1">
      <alignment horizontal="center" vertical="center"/>
    </xf>
    <xf numFmtId="179" fontId="47" fillId="7" borderId="55" xfId="10" applyNumberFormat="1" applyFont="1" applyFill="1" applyBorder="1" applyAlignment="1">
      <alignment horizontal="right" vertical="center"/>
    </xf>
    <xf numFmtId="179" fontId="47" fillId="7" borderId="56" xfId="10" applyNumberFormat="1" applyFont="1" applyFill="1" applyBorder="1" applyAlignment="1">
      <alignment horizontal="right" vertical="center"/>
    </xf>
    <xf numFmtId="41" fontId="54" fillId="0" borderId="1" xfId="10" applyFont="1" applyFill="1" applyBorder="1" applyAlignment="1">
      <alignment horizontal="center" vertical="center" wrapText="1"/>
    </xf>
    <xf numFmtId="41" fontId="47" fillId="0" borderId="1" xfId="10" applyFont="1" applyFill="1" applyBorder="1" applyAlignment="1">
      <alignment vertical="center" wrapText="1"/>
    </xf>
    <xf numFmtId="179" fontId="47" fillId="12" borderId="11" xfId="10" applyNumberFormat="1" applyFont="1" applyFill="1" applyBorder="1" applyAlignment="1">
      <alignment horizontal="right" vertical="center"/>
    </xf>
    <xf numFmtId="179" fontId="47" fillId="12" borderId="1" xfId="10" applyNumberFormat="1" applyFont="1" applyFill="1" applyBorder="1" applyAlignment="1">
      <alignment horizontal="right" vertical="center"/>
    </xf>
    <xf numFmtId="179" fontId="47" fillId="0" borderId="1" xfId="10" applyNumberFormat="1" applyFont="1" applyFill="1" applyBorder="1" applyAlignment="1">
      <alignment horizontal="right" vertical="center"/>
    </xf>
    <xf numFmtId="41" fontId="48" fillId="0" borderId="12" xfId="10" applyFont="1" applyFill="1" applyBorder="1" applyAlignment="1">
      <alignment horizontal="left" vertical="center" wrapText="1"/>
    </xf>
    <xf numFmtId="179" fontId="47" fillId="19" borderId="55" xfId="10" applyNumberFormat="1" applyFont="1" applyFill="1" applyBorder="1" applyAlignment="1">
      <alignment horizontal="right" vertical="center"/>
    </xf>
    <xf numFmtId="179" fontId="47" fillId="0" borderId="56" xfId="10" applyNumberFormat="1" applyFont="1" applyFill="1" applyBorder="1" applyAlignment="1">
      <alignment horizontal="right" vertical="center"/>
    </xf>
    <xf numFmtId="41" fontId="47" fillId="0" borderId="12" xfId="10" applyFont="1" applyFill="1" applyBorder="1" applyAlignment="1">
      <alignment horizontal="center" vertical="center"/>
    </xf>
    <xf numFmtId="41" fontId="51" fillId="2" borderId="1" xfId="10" applyFont="1" applyFill="1" applyBorder="1" applyAlignment="1">
      <alignment horizontal="center" vertical="center" wrapText="1"/>
    </xf>
    <xf numFmtId="41" fontId="51" fillId="2" borderId="1" xfId="10" applyFont="1" applyFill="1" applyBorder="1" applyAlignment="1">
      <alignment horizontal="center" vertical="center"/>
    </xf>
    <xf numFmtId="41" fontId="51" fillId="2" borderId="1" xfId="2" applyFont="1" applyFill="1" applyBorder="1" applyAlignment="1">
      <alignment horizontal="center" vertical="center"/>
    </xf>
    <xf numFmtId="0" fontId="97" fillId="0" borderId="1" xfId="0" applyFont="1" applyFill="1" applyBorder="1" applyAlignment="1">
      <alignment horizontal="center" vertical="center" wrapText="1" shrinkToFit="1"/>
    </xf>
    <xf numFmtId="0" fontId="98" fillId="7" borderId="1" xfId="0" applyFont="1" applyFill="1" applyBorder="1" applyAlignment="1">
      <alignment horizontal="center" vertical="center" wrapText="1" shrinkToFit="1"/>
    </xf>
    <xf numFmtId="41" fontId="51" fillId="7" borderId="1" xfId="2" applyFont="1" applyFill="1" applyBorder="1" applyAlignment="1">
      <alignment horizontal="center" vertical="center" wrapText="1"/>
    </xf>
    <xf numFmtId="179" fontId="51" fillId="7" borderId="11" xfId="2" applyNumberFormat="1" applyFont="1" applyFill="1" applyBorder="1" applyAlignment="1">
      <alignment horizontal="right" vertical="center"/>
    </xf>
    <xf numFmtId="179" fontId="51" fillId="7" borderId="1" xfId="2" applyNumberFormat="1" applyFont="1" applyFill="1" applyBorder="1" applyAlignment="1">
      <alignment horizontal="right" vertical="center"/>
    </xf>
    <xf numFmtId="41" fontId="51" fillId="7" borderId="12" xfId="2" applyFont="1" applyFill="1" applyBorder="1" applyAlignment="1">
      <alignment horizontal="center" vertical="center"/>
    </xf>
    <xf numFmtId="179" fontId="51" fillId="7" borderId="55" xfId="2" applyNumberFormat="1" applyFont="1" applyFill="1" applyBorder="1" applyAlignment="1">
      <alignment horizontal="right" vertical="center"/>
    </xf>
    <xf numFmtId="179" fontId="51" fillId="7" borderId="56" xfId="2" applyNumberFormat="1" applyFont="1" applyFill="1" applyBorder="1" applyAlignment="1">
      <alignment horizontal="right" vertical="center"/>
    </xf>
    <xf numFmtId="41" fontId="51" fillId="7" borderId="64" xfId="2" applyFont="1" applyFill="1" applyBorder="1" applyAlignment="1">
      <alignment horizontal="center" vertical="center"/>
    </xf>
    <xf numFmtId="0" fontId="11" fillId="0" borderId="0" xfId="0" applyFont="1"/>
    <xf numFmtId="0" fontId="54" fillId="0" borderId="1" xfId="0" applyFont="1" applyFill="1" applyBorder="1" applyAlignment="1">
      <alignment horizontal="left" vertical="center" wrapText="1" shrinkToFit="1"/>
    </xf>
    <xf numFmtId="0" fontId="54" fillId="0" borderId="1" xfId="0" applyFont="1" applyFill="1" applyBorder="1" applyAlignment="1">
      <alignment horizontal="left" vertical="center" shrinkToFit="1"/>
    </xf>
    <xf numFmtId="0" fontId="75" fillId="7" borderId="1" xfId="0" applyFont="1" applyFill="1" applyBorder="1" applyAlignment="1">
      <alignment horizontal="center" vertical="center" wrapText="1" shrinkToFit="1"/>
    </xf>
    <xf numFmtId="0" fontId="96" fillId="0" borderId="1" xfId="0" applyFont="1" applyFill="1" applyBorder="1" applyAlignment="1">
      <alignment horizontal="center" vertical="center" shrinkToFit="1"/>
    </xf>
    <xf numFmtId="0" fontId="48" fillId="0" borderId="1" xfId="0" applyFont="1" applyFill="1" applyBorder="1" applyAlignment="1">
      <alignment horizontal="center" vertical="center" shrinkToFit="1"/>
    </xf>
    <xf numFmtId="0" fontId="98" fillId="0" borderId="1" xfId="0" applyFont="1" applyFill="1" applyBorder="1" applyAlignment="1">
      <alignment horizontal="center" vertical="center" wrapText="1"/>
    </xf>
    <xf numFmtId="0" fontId="32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0" fontId="75" fillId="0" borderId="4" xfId="0" applyFont="1" applyFill="1" applyBorder="1" applyAlignment="1">
      <alignment horizontal="center" vertical="center"/>
    </xf>
    <xf numFmtId="0" fontId="98" fillId="0" borderId="4" xfId="0" applyFont="1" applyFill="1" applyBorder="1" applyAlignment="1">
      <alignment horizontal="center" vertical="center" wrapText="1"/>
    </xf>
    <xf numFmtId="41" fontId="51" fillId="0" borderId="4" xfId="2" applyFont="1" applyFill="1" applyBorder="1" applyAlignment="1">
      <alignment horizontal="center" vertical="center" wrapText="1"/>
    </xf>
    <xf numFmtId="41" fontId="51" fillId="0" borderId="4" xfId="2" applyFont="1" applyFill="1" applyBorder="1" applyAlignment="1">
      <alignment horizontal="center" vertical="center"/>
    </xf>
    <xf numFmtId="0" fontId="51" fillId="0" borderId="4" xfId="0" applyFont="1" applyFill="1" applyBorder="1" applyAlignment="1">
      <alignment horizontal="center" vertical="center"/>
    </xf>
    <xf numFmtId="179" fontId="51" fillId="0" borderId="7" xfId="0" applyNumberFormat="1" applyFont="1" applyFill="1" applyBorder="1" applyAlignment="1">
      <alignment horizontal="right" vertical="center"/>
    </xf>
    <xf numFmtId="179" fontId="51" fillId="0" borderId="4" xfId="0" applyNumberFormat="1" applyFont="1" applyFill="1" applyBorder="1" applyAlignment="1">
      <alignment horizontal="right" vertical="center"/>
    </xf>
    <xf numFmtId="0" fontId="72" fillId="2" borderId="72" xfId="0" applyFont="1" applyFill="1" applyBorder="1" applyAlignment="1">
      <alignment horizontal="right" vertical="center"/>
    </xf>
    <xf numFmtId="0" fontId="51" fillId="2" borderId="73" xfId="0" applyFont="1" applyFill="1" applyBorder="1" applyAlignment="1">
      <alignment vertical="center"/>
    </xf>
    <xf numFmtId="41" fontId="51" fillId="2" borderId="2" xfId="2" applyFont="1" applyFill="1" applyBorder="1" applyAlignment="1">
      <alignment horizontal="center" vertical="center" wrapText="1"/>
    </xf>
    <xf numFmtId="0" fontId="72" fillId="2" borderId="2" xfId="0" applyFont="1" applyFill="1" applyBorder="1" applyAlignment="1">
      <alignment horizontal="right" vertical="center"/>
    </xf>
    <xf numFmtId="0" fontId="51" fillId="2" borderId="2" xfId="0" applyFont="1" applyFill="1" applyBorder="1" applyAlignment="1">
      <alignment vertical="center"/>
    </xf>
    <xf numFmtId="0" fontId="51" fillId="2" borderId="21" xfId="0" applyFont="1" applyFill="1" applyBorder="1" applyAlignment="1">
      <alignment horizontal="center" vertical="center"/>
    </xf>
    <xf numFmtId="0" fontId="72" fillId="2" borderId="75" xfId="0" applyFont="1" applyFill="1" applyBorder="1" applyAlignment="1">
      <alignment horizontal="right" vertical="center"/>
    </xf>
    <xf numFmtId="0" fontId="51" fillId="2" borderId="76" xfId="0" applyFont="1" applyFill="1" applyBorder="1" applyAlignment="1">
      <alignment vertical="center"/>
    </xf>
    <xf numFmtId="0" fontId="44" fillId="18" borderId="45" xfId="3" applyFont="1" applyFill="1" applyBorder="1" applyAlignment="1">
      <alignment horizontal="center" vertical="center" shrinkToFit="1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vertical="center"/>
    </xf>
    <xf numFmtId="176" fontId="104" fillId="0" borderId="79" xfId="1" applyNumberFormat="1" applyFont="1" applyBorder="1" applyAlignment="1">
      <alignment horizontal="center" vertical="center" wrapText="1"/>
    </xf>
    <xf numFmtId="41" fontId="14" fillId="6" borderId="79" xfId="1" applyFont="1" applyFill="1" applyBorder="1" applyAlignment="1">
      <alignment horizontal="center" vertical="center" shrinkToFit="1"/>
    </xf>
    <xf numFmtId="41" fontId="14" fillId="0" borderId="79" xfId="1" applyFont="1" applyBorder="1" applyAlignment="1">
      <alignment horizontal="center" vertical="center" shrinkToFit="1"/>
    </xf>
    <xf numFmtId="41" fontId="31" fillId="0" borderId="79" xfId="1" applyFont="1" applyBorder="1" applyAlignment="1">
      <alignment horizontal="center" vertical="center" shrinkToFit="1"/>
    </xf>
    <xf numFmtId="0" fontId="102" fillId="0" borderId="79" xfId="0" applyFont="1" applyBorder="1" applyAlignment="1">
      <alignment horizontal="center" vertical="center"/>
    </xf>
    <xf numFmtId="176" fontId="15" fillId="0" borderId="81" xfId="1" applyNumberFormat="1" applyFont="1" applyBorder="1" applyAlignment="1">
      <alignment horizontal="center" vertical="center" wrapText="1"/>
    </xf>
    <xf numFmtId="176" fontId="15" fillId="0" borderId="83" xfId="1" applyNumberFormat="1" applyFont="1" applyBorder="1" applyAlignment="1">
      <alignment horizontal="center" vertical="center"/>
    </xf>
    <xf numFmtId="41" fontId="105" fillId="0" borderId="79" xfId="1" applyFont="1" applyBorder="1" applyAlignment="1">
      <alignment horizontal="center" vertical="center" shrinkToFit="1"/>
    </xf>
    <xf numFmtId="41" fontId="106" fillId="0" borderId="79" xfId="1" applyFont="1" applyBorder="1" applyAlignment="1">
      <alignment horizontal="center" vertical="center" shrinkToFit="1"/>
    </xf>
    <xf numFmtId="0" fontId="107" fillId="0" borderId="0" xfId="0" applyFont="1" applyAlignment="1">
      <alignment vertical="center"/>
    </xf>
    <xf numFmtId="0" fontId="107" fillId="0" borderId="0" xfId="0" applyFont="1" applyAlignment="1">
      <alignment horizontal="center" vertical="center"/>
    </xf>
    <xf numFmtId="41" fontId="105" fillId="0" borderId="86" xfId="1" applyFont="1" applyBorder="1" applyAlignment="1">
      <alignment horizontal="center" vertical="center" shrinkToFit="1"/>
    </xf>
    <xf numFmtId="179" fontId="51" fillId="0" borderId="55" xfId="0" applyNumberFormat="1" applyFont="1" applyFill="1" applyBorder="1" applyAlignment="1">
      <alignment horizontal="right" vertical="center" shrinkToFit="1"/>
    </xf>
    <xf numFmtId="179" fontId="51" fillId="0" borderId="56" xfId="0" applyNumberFormat="1" applyFont="1" applyFill="1" applyBorder="1" applyAlignment="1">
      <alignment horizontal="right" vertical="center" shrinkToFit="1"/>
    </xf>
    <xf numFmtId="179" fontId="51" fillId="7" borderId="55" xfId="2" applyNumberFormat="1" applyFont="1" applyFill="1" applyBorder="1" applyAlignment="1">
      <alignment horizontal="right" vertical="center" shrinkToFit="1"/>
    </xf>
    <xf numFmtId="179" fontId="51" fillId="7" borderId="56" xfId="2" applyNumberFormat="1" applyFont="1" applyFill="1" applyBorder="1" applyAlignment="1">
      <alignment horizontal="right" vertical="center" shrinkToFit="1"/>
    </xf>
    <xf numFmtId="181" fontId="0" fillId="0" borderId="0" xfId="0" applyNumberFormat="1" applyAlignment="1">
      <alignment vertical="center"/>
    </xf>
    <xf numFmtId="0" fontId="76" fillId="7" borderId="1" xfId="0" applyFont="1" applyFill="1" applyBorder="1" applyAlignment="1">
      <alignment horizontal="center" vertical="center"/>
    </xf>
    <xf numFmtId="41" fontId="51" fillId="7" borderId="1" xfId="2" applyFont="1" applyFill="1" applyBorder="1" applyAlignment="1">
      <alignment horizontal="center" vertical="center"/>
    </xf>
    <xf numFmtId="0" fontId="77" fillId="0" borderId="1" xfId="0" applyFont="1" applyFill="1" applyBorder="1" applyAlignment="1">
      <alignment horizontal="center" vertical="center"/>
    </xf>
    <xf numFmtId="41" fontId="54" fillId="0" borderId="1" xfId="2" applyFont="1" applyFill="1" applyBorder="1" applyAlignment="1">
      <alignment horizontal="center" vertical="center"/>
    </xf>
    <xf numFmtId="41" fontId="47" fillId="0" borderId="1" xfId="2" applyFont="1" applyFill="1" applyBorder="1" applyAlignment="1">
      <alignment vertical="center"/>
    </xf>
    <xf numFmtId="41" fontId="48" fillId="0" borderId="12" xfId="2" applyFont="1" applyFill="1" applyBorder="1" applyAlignment="1">
      <alignment horizontal="left" vertical="center"/>
    </xf>
    <xf numFmtId="179" fontId="51" fillId="0" borderId="57" xfId="0" applyNumberFormat="1" applyFont="1" applyFill="1" applyBorder="1" applyAlignment="1">
      <alignment horizontal="right" vertical="center" shrinkToFit="1"/>
    </xf>
    <xf numFmtId="179" fontId="51" fillId="0" borderId="58" xfId="0" applyNumberFormat="1" applyFont="1" applyFill="1" applyBorder="1" applyAlignment="1">
      <alignment horizontal="right" vertical="center" shrinkToFit="1"/>
    </xf>
    <xf numFmtId="179" fontId="47" fillId="19" borderId="55" xfId="2" applyNumberFormat="1" applyFont="1" applyFill="1" applyBorder="1" applyAlignment="1">
      <alignment horizontal="right" vertical="center" shrinkToFit="1"/>
    </xf>
    <xf numFmtId="179" fontId="47" fillId="0" borderId="56" xfId="2" applyNumberFormat="1" applyFont="1" applyFill="1" applyBorder="1" applyAlignment="1">
      <alignment horizontal="right" vertical="center" shrinkToFit="1"/>
    </xf>
    <xf numFmtId="179" fontId="51" fillId="0" borderId="11" xfId="0" applyNumberFormat="1" applyFont="1" applyFill="1" applyBorder="1" applyAlignment="1">
      <alignment horizontal="right" vertical="center" shrinkToFit="1"/>
    </xf>
    <xf numFmtId="179" fontId="51" fillId="0" borderId="1" xfId="0" applyNumberFormat="1" applyFont="1" applyFill="1" applyBorder="1" applyAlignment="1">
      <alignment horizontal="right" vertical="center" shrinkToFit="1"/>
    </xf>
    <xf numFmtId="179" fontId="51" fillId="7" borderId="11" xfId="2" applyNumberFormat="1" applyFont="1" applyFill="1" applyBorder="1" applyAlignment="1">
      <alignment horizontal="right" vertical="center" shrinkToFit="1"/>
    </xf>
    <xf numFmtId="179" fontId="51" fillId="7" borderId="1" xfId="2" applyNumberFormat="1" applyFont="1" applyFill="1" applyBorder="1" applyAlignment="1">
      <alignment horizontal="right" vertical="center" shrinkToFit="1"/>
    </xf>
    <xf numFmtId="179" fontId="47" fillId="12" borderId="11" xfId="2" applyNumberFormat="1" applyFont="1" applyFill="1" applyBorder="1" applyAlignment="1">
      <alignment horizontal="right" vertical="center" shrinkToFit="1"/>
    </xf>
    <xf numFmtId="179" fontId="47" fillId="12" borderId="1" xfId="2" applyNumberFormat="1" applyFont="1" applyFill="1" applyBorder="1" applyAlignment="1">
      <alignment horizontal="right" vertical="center" shrinkToFit="1"/>
    </xf>
    <xf numFmtId="179" fontId="47" fillId="0" borderId="1" xfId="2" applyNumberFormat="1" applyFont="1" applyFill="1" applyBorder="1" applyAlignment="1">
      <alignment horizontal="right" vertical="center" shrinkToFit="1"/>
    </xf>
    <xf numFmtId="179" fontId="60" fillId="5" borderId="23" xfId="3" applyNumberFormat="1" applyFont="1" applyFill="1" applyBorder="1" applyAlignment="1">
      <alignment horizontal="right" vertical="center" shrinkToFit="1"/>
    </xf>
    <xf numFmtId="179" fontId="60" fillId="5" borderId="33" xfId="3" applyNumberFormat="1" applyFont="1" applyFill="1" applyBorder="1" applyAlignment="1">
      <alignment horizontal="right" vertical="center" shrinkToFit="1"/>
    </xf>
    <xf numFmtId="179" fontId="60" fillId="5" borderId="1" xfId="3" applyNumberFormat="1" applyFont="1" applyFill="1" applyBorder="1" applyAlignment="1">
      <alignment horizontal="right" vertical="center" shrinkToFit="1"/>
    </xf>
    <xf numFmtId="179" fontId="83" fillId="5" borderId="1" xfId="3" applyNumberFormat="1" applyFont="1" applyFill="1" applyBorder="1" applyAlignment="1">
      <alignment horizontal="right" vertical="center" shrinkToFit="1"/>
    </xf>
    <xf numFmtId="179" fontId="60" fillId="5" borderId="44" xfId="3" applyNumberFormat="1" applyFont="1" applyFill="1" applyBorder="1" applyAlignment="1">
      <alignment vertical="center" shrinkToFit="1"/>
    </xf>
    <xf numFmtId="179" fontId="46" fillId="5" borderId="23" xfId="3" applyNumberFormat="1" applyFont="1" applyFill="1" applyBorder="1" applyAlignment="1">
      <alignment horizontal="right" vertical="center" shrinkToFit="1"/>
    </xf>
    <xf numFmtId="179" fontId="46" fillId="5" borderId="33" xfId="3" applyNumberFormat="1" applyFont="1" applyFill="1" applyBorder="1" applyAlignment="1">
      <alignment horizontal="right" vertical="center" shrinkToFit="1"/>
    </xf>
    <xf numFmtId="179" fontId="46" fillId="5" borderId="1" xfId="3" applyNumberFormat="1" applyFont="1" applyFill="1" applyBorder="1" applyAlignment="1">
      <alignment horizontal="right" vertical="center" shrinkToFit="1"/>
    </xf>
    <xf numFmtId="179" fontId="44" fillId="5" borderId="44" xfId="3" applyNumberFormat="1" applyFont="1" applyFill="1" applyBorder="1" applyAlignment="1">
      <alignment vertical="center" shrinkToFit="1"/>
    </xf>
    <xf numFmtId="179" fontId="44" fillId="5" borderId="22" xfId="3" applyNumberFormat="1" applyFont="1" applyFill="1" applyBorder="1" applyAlignment="1">
      <alignment horizontal="right" vertical="center" shrinkToFit="1"/>
    </xf>
    <xf numFmtId="179" fontId="44" fillId="5" borderId="24" xfId="3" applyNumberFormat="1" applyFont="1" applyFill="1" applyBorder="1" applyAlignment="1">
      <alignment horizontal="right" vertical="center" shrinkToFit="1"/>
    </xf>
    <xf numFmtId="179" fontId="44" fillId="5" borderId="1" xfId="3" applyNumberFormat="1" applyFont="1" applyFill="1" applyBorder="1" applyAlignment="1">
      <alignment horizontal="right" vertical="center" shrinkToFit="1"/>
    </xf>
    <xf numFmtId="179" fontId="44" fillId="10" borderId="22" xfId="3" applyNumberFormat="1" applyFont="1" applyFill="1" applyBorder="1" applyAlignment="1">
      <alignment horizontal="right" vertical="center" shrinkToFit="1"/>
    </xf>
    <xf numFmtId="179" fontId="44" fillId="10" borderId="15" xfId="3" applyNumberFormat="1" applyFont="1" applyFill="1" applyBorder="1" applyAlignment="1">
      <alignment vertical="center" shrinkToFit="1"/>
    </xf>
    <xf numFmtId="179" fontId="44" fillId="10" borderId="1" xfId="3" applyNumberFormat="1" applyFont="1" applyFill="1" applyBorder="1" applyAlignment="1">
      <alignment horizontal="right" vertical="center" shrinkToFit="1"/>
    </xf>
    <xf numFmtId="179" fontId="83" fillId="10" borderId="1" xfId="3" applyNumberFormat="1" applyFont="1" applyFill="1" applyBorder="1" applyAlignment="1">
      <alignment horizontal="right" vertical="center" shrinkToFit="1"/>
    </xf>
    <xf numFmtId="179" fontId="44" fillId="10" borderId="46" xfId="3" applyNumberFormat="1" applyFont="1" applyFill="1" applyBorder="1" applyAlignment="1">
      <alignment vertical="center" shrinkToFit="1"/>
    </xf>
    <xf numFmtId="179" fontId="44" fillId="6" borderId="22" xfId="3" applyNumberFormat="1" applyFont="1" applyFill="1" applyBorder="1" applyAlignment="1">
      <alignment horizontal="right" vertical="center" shrinkToFit="1"/>
    </xf>
    <xf numFmtId="179" fontId="44" fillId="6" borderId="24" xfId="3" applyNumberFormat="1" applyFont="1" applyFill="1" applyBorder="1" applyAlignment="1">
      <alignment horizontal="right" vertical="center" shrinkToFit="1"/>
    </xf>
    <xf numFmtId="179" fontId="44" fillId="6" borderId="1" xfId="3" applyNumberFormat="1" applyFont="1" applyFill="1" applyBorder="1" applyAlignment="1">
      <alignment horizontal="right" vertical="center" shrinkToFit="1"/>
    </xf>
    <xf numFmtId="179" fontId="83" fillId="6" borderId="1" xfId="3" applyNumberFormat="1" applyFont="1" applyFill="1" applyBorder="1" applyAlignment="1">
      <alignment horizontal="right" vertical="center" shrinkToFit="1"/>
    </xf>
    <xf numFmtId="179" fontId="44" fillId="6" borderId="46" xfId="3" applyNumberFormat="1" applyFont="1" applyFill="1" applyBorder="1" applyAlignment="1">
      <alignment vertical="center" shrinkToFit="1"/>
    </xf>
    <xf numFmtId="179" fontId="45" fillId="0" borderId="22" xfId="3" applyNumberFormat="1" applyFont="1" applyBorder="1" applyAlignment="1">
      <alignment horizontal="right" vertical="center" shrinkToFit="1"/>
    </xf>
    <xf numFmtId="179" fontId="45" fillId="0" borderId="11" xfId="3" applyNumberFormat="1" applyFont="1" applyBorder="1" applyAlignment="1">
      <alignment vertical="center" shrinkToFit="1"/>
    </xf>
    <xf numFmtId="179" fontId="45" fillId="0" borderId="1" xfId="3" applyNumberFormat="1" applyFont="1" applyBorder="1" applyAlignment="1">
      <alignment horizontal="right" vertical="center" shrinkToFit="1"/>
    </xf>
    <xf numFmtId="179" fontId="84" fillId="0" borderId="1" xfId="3" applyNumberFormat="1" applyFont="1" applyBorder="1" applyAlignment="1">
      <alignment horizontal="right" vertical="center" shrinkToFit="1"/>
    </xf>
    <xf numFmtId="179" fontId="83" fillId="0" borderId="1" xfId="3" applyNumberFormat="1" applyFont="1" applyFill="1" applyBorder="1" applyAlignment="1">
      <alignment horizontal="right" vertical="center" shrinkToFit="1"/>
    </xf>
    <xf numFmtId="179" fontId="45" fillId="0" borderId="46" xfId="3" applyNumberFormat="1" applyFont="1" applyBorder="1" applyAlignment="1">
      <alignment vertical="center" shrinkToFit="1"/>
    </xf>
    <xf numFmtId="179" fontId="45" fillId="0" borderId="25" xfId="3" applyNumberFormat="1" applyFont="1" applyBorder="1" applyAlignment="1">
      <alignment horizontal="right" vertical="center" shrinkToFit="1"/>
    </xf>
    <xf numFmtId="179" fontId="45" fillId="0" borderId="49" xfId="3" applyNumberFormat="1" applyFont="1" applyBorder="1" applyAlignment="1">
      <alignment horizontal="right" vertical="center" shrinkToFit="1"/>
    </xf>
    <xf numFmtId="179" fontId="45" fillId="0" borderId="34" xfId="3" applyNumberFormat="1" applyFont="1" applyBorder="1" applyAlignment="1">
      <alignment vertical="center" shrinkToFit="1"/>
    </xf>
    <xf numFmtId="179" fontId="45" fillId="0" borderId="29" xfId="3" applyNumberFormat="1" applyFont="1" applyBorder="1" applyAlignment="1">
      <alignment horizontal="right" vertical="center" shrinkToFit="1"/>
    </xf>
    <xf numFmtId="179" fontId="84" fillId="0" borderId="29" xfId="3" applyNumberFormat="1" applyFont="1" applyBorder="1" applyAlignment="1">
      <alignment horizontal="right" vertical="center" shrinkToFit="1"/>
    </xf>
    <xf numFmtId="179" fontId="83" fillId="0" borderId="29" xfId="3" applyNumberFormat="1" applyFont="1" applyFill="1" applyBorder="1" applyAlignment="1">
      <alignment horizontal="right" vertical="center" shrinkToFit="1"/>
    </xf>
    <xf numFmtId="179" fontId="45" fillId="0" borderId="78" xfId="3" applyNumberFormat="1" applyFont="1" applyBorder="1" applyAlignment="1">
      <alignment vertical="center" shrinkToFit="1"/>
    </xf>
    <xf numFmtId="179" fontId="60" fillId="2" borderId="23" xfId="3" applyNumberFormat="1" applyFont="1" applyFill="1" applyBorder="1" applyAlignment="1">
      <alignment horizontal="right" vertical="center" shrinkToFit="1"/>
    </xf>
    <xf numFmtId="179" fontId="60" fillId="2" borderId="33" xfId="3" applyNumberFormat="1" applyFont="1" applyFill="1" applyBorder="1" applyAlignment="1">
      <alignment horizontal="right" vertical="center" shrinkToFit="1"/>
    </xf>
    <xf numFmtId="179" fontId="60" fillId="2" borderId="1" xfId="3" applyNumberFormat="1" applyFont="1" applyFill="1" applyBorder="1" applyAlignment="1">
      <alignment horizontal="right" vertical="center" shrinkToFit="1"/>
    </xf>
    <xf numFmtId="179" fontId="83" fillId="2" borderId="1" xfId="3" applyNumberFormat="1" applyFont="1" applyFill="1" applyBorder="1" applyAlignment="1">
      <alignment horizontal="right" vertical="center" shrinkToFit="1"/>
    </xf>
    <xf numFmtId="179" fontId="60" fillId="2" borderId="44" xfId="3" applyNumberFormat="1" applyFont="1" applyFill="1" applyBorder="1" applyAlignment="1">
      <alignment vertical="center" shrinkToFit="1"/>
    </xf>
    <xf numFmtId="179" fontId="46" fillId="2" borderId="23" xfId="3" applyNumberFormat="1" applyFont="1" applyFill="1" applyBorder="1" applyAlignment="1">
      <alignment horizontal="right" vertical="center" shrinkToFit="1"/>
    </xf>
    <xf numFmtId="179" fontId="46" fillId="2" borderId="33" xfId="3" applyNumberFormat="1" applyFont="1" applyFill="1" applyBorder="1" applyAlignment="1">
      <alignment horizontal="right" vertical="center" shrinkToFit="1"/>
    </xf>
    <xf numFmtId="179" fontId="46" fillId="2" borderId="1" xfId="3" applyNumberFormat="1" applyFont="1" applyFill="1" applyBorder="1" applyAlignment="1">
      <alignment horizontal="right" vertical="center" shrinkToFit="1"/>
    </xf>
    <xf numFmtId="179" fontId="44" fillId="2" borderId="44" xfId="3" applyNumberFormat="1" applyFont="1" applyFill="1" applyBorder="1" applyAlignment="1">
      <alignment vertical="center" shrinkToFit="1"/>
    </xf>
    <xf numFmtId="179" fontId="44" fillId="2" borderId="22" xfId="3" applyNumberFormat="1" applyFont="1" applyFill="1" applyBorder="1" applyAlignment="1">
      <alignment horizontal="right" vertical="center" shrinkToFit="1"/>
    </xf>
    <xf numFmtId="179" fontId="44" fillId="2" borderId="24" xfId="3" applyNumberFormat="1" applyFont="1" applyFill="1" applyBorder="1" applyAlignment="1">
      <alignment horizontal="right" vertical="center" shrinkToFit="1"/>
    </xf>
    <xf numFmtId="179" fontId="44" fillId="2" borderId="1" xfId="3" applyNumberFormat="1" applyFont="1" applyFill="1" applyBorder="1" applyAlignment="1">
      <alignment horizontal="right" vertical="center" shrinkToFit="1"/>
    </xf>
    <xf numFmtId="179" fontId="44" fillId="18" borderId="22" xfId="3" applyNumberFormat="1" applyFont="1" applyFill="1" applyBorder="1" applyAlignment="1">
      <alignment horizontal="right" vertical="center" shrinkToFit="1"/>
    </xf>
    <xf numFmtId="179" fontId="44" fillId="18" borderId="15" xfId="3" applyNumberFormat="1" applyFont="1" applyFill="1" applyBorder="1" applyAlignment="1">
      <alignment vertical="center" shrinkToFit="1"/>
    </xf>
    <xf numFmtId="179" fontId="44" fillId="18" borderId="1" xfId="3" applyNumberFormat="1" applyFont="1" applyFill="1" applyBorder="1" applyAlignment="1">
      <alignment horizontal="right" vertical="center" shrinkToFit="1"/>
    </xf>
    <xf numFmtId="179" fontId="83" fillId="18" borderId="1" xfId="3" applyNumberFormat="1" applyFont="1" applyFill="1" applyBorder="1" applyAlignment="1">
      <alignment horizontal="right" vertical="center" shrinkToFit="1"/>
    </xf>
    <xf numFmtId="179" fontId="44" fillId="18" borderId="46" xfId="3" applyNumberFormat="1" applyFont="1" applyFill="1" applyBorder="1" applyAlignment="1">
      <alignment vertical="center" shrinkToFit="1"/>
    </xf>
    <xf numFmtId="179" fontId="44" fillId="18" borderId="24" xfId="3" applyNumberFormat="1" applyFont="1" applyFill="1" applyBorder="1" applyAlignment="1">
      <alignment horizontal="right" vertical="center" shrinkToFit="1"/>
    </xf>
    <xf numFmtId="179" fontId="51" fillId="20" borderId="55" xfId="2" applyNumberFormat="1" applyFont="1" applyFill="1" applyBorder="1" applyAlignment="1">
      <alignment horizontal="right" vertical="center" shrinkToFit="1"/>
    </xf>
    <xf numFmtId="0" fontId="51" fillId="0" borderId="12" xfId="0" applyFont="1" applyFill="1" applyBorder="1" applyAlignment="1">
      <alignment horizontal="center" vertical="center" wrapText="1"/>
    </xf>
    <xf numFmtId="41" fontId="51" fillId="7" borderId="12" xfId="2" applyFont="1" applyFill="1" applyBorder="1" applyAlignment="1">
      <alignment horizontal="center" vertical="center" wrapText="1"/>
    </xf>
    <xf numFmtId="41" fontId="47" fillId="0" borderId="12" xfId="2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 wrapText="1"/>
    </xf>
    <xf numFmtId="0" fontId="51" fillId="7" borderId="1" xfId="0" applyFont="1" applyFill="1" applyBorder="1" applyAlignment="1">
      <alignment horizontal="center" vertical="center" wrapText="1"/>
    </xf>
    <xf numFmtId="3" fontId="95" fillId="0" borderId="79" xfId="0" applyNumberFormat="1" applyFont="1" applyBorder="1" applyAlignment="1">
      <alignment horizontal="right" vertical="center" shrinkToFit="1"/>
    </xf>
    <xf numFmtId="179" fontId="109" fillId="8" borderId="84" xfId="1" applyNumberFormat="1" applyFont="1" applyFill="1" applyBorder="1" applyAlignment="1">
      <alignment horizontal="right" vertical="center" shrinkToFit="1"/>
    </xf>
    <xf numFmtId="179" fontId="110" fillId="8" borderId="81" xfId="1" applyNumberFormat="1" applyFont="1" applyFill="1" applyBorder="1" applyAlignment="1">
      <alignment horizontal="right" vertical="center" shrinkToFit="1"/>
    </xf>
    <xf numFmtId="179" fontId="110" fillId="8" borderId="79" xfId="1" applyNumberFormat="1" applyFont="1" applyFill="1" applyBorder="1" applyAlignment="1">
      <alignment horizontal="right" vertical="center" shrinkToFit="1"/>
    </xf>
    <xf numFmtId="179" fontId="111" fillId="8" borderId="79" xfId="1" applyNumberFormat="1" applyFont="1" applyFill="1" applyBorder="1" applyAlignment="1">
      <alignment horizontal="right" vertical="center" shrinkToFit="1"/>
    </xf>
    <xf numFmtId="180" fontId="85" fillId="8" borderId="79" xfId="1" applyNumberFormat="1" applyFont="1" applyFill="1" applyBorder="1" applyAlignment="1">
      <alignment horizontal="right" vertical="center" shrinkToFit="1"/>
    </xf>
    <xf numFmtId="3" fontId="112" fillId="5" borderId="79" xfId="0" applyNumberFormat="1" applyFont="1" applyFill="1" applyBorder="1" applyAlignment="1">
      <alignment horizontal="right" vertical="center" shrinkToFit="1"/>
    </xf>
    <xf numFmtId="179" fontId="109" fillId="5" borderId="84" xfId="1" applyNumberFormat="1" applyFont="1" applyFill="1" applyBorder="1" applyAlignment="1">
      <alignment horizontal="right" vertical="center" shrinkToFit="1"/>
    </xf>
    <xf numFmtId="179" fontId="110" fillId="5" borderId="81" xfId="1" applyNumberFormat="1" applyFont="1" applyFill="1" applyBorder="1" applyAlignment="1">
      <alignment horizontal="right" vertical="center" shrinkToFit="1"/>
    </xf>
    <xf numFmtId="179" fontId="110" fillId="5" borderId="79" xfId="1" applyNumberFormat="1" applyFont="1" applyFill="1" applyBorder="1" applyAlignment="1">
      <alignment horizontal="right" vertical="center" shrinkToFit="1"/>
    </xf>
    <xf numFmtId="179" fontId="111" fillId="5" borderId="79" xfId="1" applyNumberFormat="1" applyFont="1" applyFill="1" applyBorder="1" applyAlignment="1">
      <alignment horizontal="right" vertical="center" shrinkToFit="1"/>
    </xf>
    <xf numFmtId="182" fontId="85" fillId="5" borderId="79" xfId="1" applyNumberFormat="1" applyFont="1" applyFill="1" applyBorder="1" applyAlignment="1">
      <alignment horizontal="right" vertical="center" shrinkToFit="1"/>
    </xf>
    <xf numFmtId="179" fontId="109" fillId="6" borderId="84" xfId="1" applyNumberFormat="1" applyFont="1" applyFill="1" applyBorder="1" applyAlignment="1">
      <alignment horizontal="right" vertical="center" shrinkToFit="1"/>
    </xf>
    <xf numFmtId="179" fontId="110" fillId="6" borderId="81" xfId="1" applyNumberFormat="1" applyFont="1" applyFill="1" applyBorder="1" applyAlignment="1">
      <alignment horizontal="right" vertical="center" shrinkToFit="1"/>
    </xf>
    <xf numFmtId="179" fontId="110" fillId="6" borderId="79" xfId="1" applyNumberFormat="1" applyFont="1" applyFill="1" applyBorder="1" applyAlignment="1">
      <alignment horizontal="right" vertical="center" shrinkToFit="1"/>
    </xf>
    <xf numFmtId="179" fontId="111" fillId="6" borderId="79" xfId="1" applyNumberFormat="1" applyFont="1" applyFill="1" applyBorder="1" applyAlignment="1">
      <alignment horizontal="right" vertical="center" shrinkToFit="1"/>
    </xf>
    <xf numFmtId="182" fontId="85" fillId="6" borderId="79" xfId="1" applyNumberFormat="1" applyFont="1" applyFill="1" applyBorder="1" applyAlignment="1">
      <alignment horizontal="right" vertical="center" shrinkToFit="1"/>
    </xf>
    <xf numFmtId="182" fontId="85" fillId="0" borderId="79" xfId="1" applyNumberFormat="1" applyFont="1" applyFill="1" applyBorder="1" applyAlignment="1">
      <alignment horizontal="right" vertical="center" shrinkToFit="1"/>
    </xf>
    <xf numFmtId="179" fontId="108" fillId="8" borderId="79" xfId="1" applyNumberFormat="1" applyFont="1" applyFill="1" applyBorder="1" applyAlignment="1">
      <alignment horizontal="right" vertical="center" shrinkToFit="1"/>
    </xf>
    <xf numFmtId="179" fontId="108" fillId="8" borderId="80" xfId="1" applyNumberFormat="1" applyFont="1" applyFill="1" applyBorder="1" applyAlignment="1">
      <alignment horizontal="right" vertical="center" shrinkToFit="1"/>
    </xf>
    <xf numFmtId="179" fontId="113" fillId="5" borderId="79" xfId="1" applyNumberFormat="1" applyFont="1" applyFill="1" applyBorder="1" applyAlignment="1">
      <alignment horizontal="right" vertical="center" shrinkToFit="1"/>
    </xf>
    <xf numFmtId="179" fontId="108" fillId="5" borderId="80" xfId="1" applyNumberFormat="1" applyFont="1" applyFill="1" applyBorder="1" applyAlignment="1">
      <alignment horizontal="right" vertical="center" shrinkToFit="1"/>
    </xf>
    <xf numFmtId="179" fontId="114" fillId="5" borderId="79" xfId="1" applyNumberFormat="1" applyFont="1" applyFill="1" applyBorder="1" applyAlignment="1">
      <alignment horizontal="right" vertical="center" shrinkToFit="1"/>
    </xf>
    <xf numFmtId="179" fontId="108" fillId="6" borderId="79" xfId="1" applyNumberFormat="1" applyFont="1" applyFill="1" applyBorder="1" applyAlignment="1">
      <alignment horizontal="right" vertical="center" shrinkToFit="1"/>
    </xf>
    <xf numFmtId="179" fontId="85" fillId="6" borderId="79" xfId="1" applyNumberFormat="1" applyFont="1" applyFill="1" applyBorder="1" applyAlignment="1">
      <alignment horizontal="right" vertical="center" shrinkToFit="1"/>
    </xf>
    <xf numFmtId="179" fontId="108" fillId="6" borderId="80" xfId="1" applyNumberFormat="1" applyFont="1" applyFill="1" applyBorder="1" applyAlignment="1">
      <alignment horizontal="right" vertical="center" shrinkToFit="1"/>
    </xf>
    <xf numFmtId="179" fontId="85" fillId="0" borderId="79" xfId="1" applyNumberFormat="1" applyFont="1" applyBorder="1" applyAlignment="1">
      <alignment horizontal="right" vertical="center" shrinkToFit="1"/>
    </xf>
    <xf numFmtId="179" fontId="85" fillId="0" borderId="80" xfId="1" applyNumberFormat="1" applyFont="1" applyBorder="1" applyAlignment="1">
      <alignment horizontal="right" vertical="center" shrinkToFit="1"/>
    </xf>
    <xf numFmtId="179" fontId="115" fillId="0" borderId="84" xfId="1" applyNumberFormat="1" applyFont="1" applyBorder="1" applyAlignment="1">
      <alignment horizontal="right" vertical="center" shrinkToFit="1"/>
    </xf>
    <xf numFmtId="179" fontId="116" fillId="0" borderId="81" xfId="1" applyNumberFormat="1" applyFont="1" applyBorder="1" applyAlignment="1">
      <alignment horizontal="right" vertical="center" shrinkToFit="1"/>
    </xf>
    <xf numFmtId="179" fontId="116" fillId="0" borderId="79" xfId="1" applyNumberFormat="1" applyFont="1" applyBorder="1" applyAlignment="1">
      <alignment horizontal="right" vertical="center" shrinkToFit="1"/>
    </xf>
    <xf numFmtId="179" fontId="117" fillId="0" borderId="79" xfId="1" applyNumberFormat="1" applyFont="1" applyBorder="1" applyAlignment="1">
      <alignment horizontal="right" vertical="center" shrinkToFit="1"/>
    </xf>
    <xf numFmtId="179" fontId="116" fillId="0" borderId="79" xfId="1" applyNumberFormat="1" applyFont="1" applyFill="1" applyBorder="1" applyAlignment="1">
      <alignment horizontal="right" vertical="center" shrinkToFit="1"/>
    </xf>
    <xf numFmtId="179" fontId="115" fillId="0" borderId="85" xfId="1" applyNumberFormat="1" applyFont="1" applyBorder="1" applyAlignment="1">
      <alignment horizontal="right" vertical="center" shrinkToFit="1"/>
    </xf>
    <xf numFmtId="0" fontId="0" fillId="12" borderId="0" xfId="0" applyFill="1"/>
    <xf numFmtId="0" fontId="11" fillId="12" borderId="0" xfId="0" applyFont="1" applyFill="1"/>
    <xf numFmtId="41" fontId="51" fillId="7" borderId="54" xfId="2" applyFont="1" applyFill="1" applyBorder="1" applyAlignment="1">
      <alignment horizontal="center" vertical="center"/>
    </xf>
    <xf numFmtId="0" fontId="51" fillId="2" borderId="54" xfId="0" applyFont="1" applyFill="1" applyBorder="1" applyAlignment="1">
      <alignment horizontal="center" vertical="center"/>
    </xf>
    <xf numFmtId="0" fontId="51" fillId="0" borderId="54" xfId="0" applyFont="1" applyFill="1" applyBorder="1" applyAlignment="1">
      <alignment horizontal="center" vertical="center"/>
    </xf>
    <xf numFmtId="0" fontId="72" fillId="2" borderId="92" xfId="0" applyFont="1" applyFill="1" applyBorder="1" applyAlignment="1">
      <alignment horizontal="right" vertical="center"/>
    </xf>
    <xf numFmtId="0" fontId="51" fillId="2" borderId="93" xfId="0" applyFont="1" applyFill="1" applyBorder="1" applyAlignment="1">
      <alignment vertical="center"/>
    </xf>
    <xf numFmtId="179" fontId="51" fillId="0" borderId="92" xfId="0" applyNumberFormat="1" applyFont="1" applyFill="1" applyBorder="1" applyAlignment="1">
      <alignment horizontal="right" vertical="center"/>
    </xf>
    <xf numFmtId="179" fontId="51" fillId="0" borderId="93" xfId="0" applyNumberFormat="1" applyFont="1" applyFill="1" applyBorder="1" applyAlignment="1">
      <alignment horizontal="right" vertical="center"/>
    </xf>
    <xf numFmtId="179" fontId="51" fillId="7" borderId="92" xfId="2" applyNumberFormat="1" applyFont="1" applyFill="1" applyBorder="1" applyAlignment="1">
      <alignment horizontal="right" vertical="center"/>
    </xf>
    <xf numFmtId="179" fontId="51" fillId="7" borderId="93" xfId="2" applyNumberFormat="1" applyFont="1" applyFill="1" applyBorder="1" applyAlignment="1">
      <alignment horizontal="right" vertical="center"/>
    </xf>
    <xf numFmtId="179" fontId="47" fillId="19" borderId="92" xfId="2" applyNumberFormat="1" applyFont="1" applyFill="1" applyBorder="1" applyAlignment="1">
      <alignment horizontal="right" vertical="center" shrinkToFit="1"/>
    </xf>
    <xf numFmtId="179" fontId="47" fillId="19" borderId="93" xfId="2" applyNumberFormat="1" applyFont="1" applyFill="1" applyBorder="1" applyAlignment="1">
      <alignment horizontal="right" vertical="center" shrinkToFit="1"/>
    </xf>
    <xf numFmtId="179" fontId="47" fillId="19" borderId="94" xfId="2" applyNumberFormat="1" applyFont="1" applyFill="1" applyBorder="1" applyAlignment="1">
      <alignment horizontal="right" vertical="center" shrinkToFit="1"/>
    </xf>
    <xf numFmtId="179" fontId="47" fillId="19" borderId="95" xfId="2" applyNumberFormat="1" applyFont="1" applyFill="1" applyBorder="1" applyAlignment="1">
      <alignment horizontal="right" vertical="center" shrinkToFit="1"/>
    </xf>
    <xf numFmtId="41" fontId="48" fillId="0" borderId="54" xfId="2" applyFont="1" applyFill="1" applyBorder="1" applyAlignment="1">
      <alignment horizontal="left" vertical="center" wrapText="1"/>
    </xf>
    <xf numFmtId="0" fontId="1" fillId="0" borderId="0" xfId="19">
      <alignment vertical="center"/>
    </xf>
    <xf numFmtId="0" fontId="1" fillId="12" borderId="0" xfId="19" applyFill="1" applyAlignment="1">
      <alignment horizontal="left" vertical="center"/>
    </xf>
    <xf numFmtId="0" fontId="1" fillId="0" borderId="0" xfId="19" applyAlignment="1">
      <alignment horizontal="right"/>
    </xf>
    <xf numFmtId="0" fontId="65" fillId="13" borderId="79" xfId="19" applyFont="1" applyFill="1" applyBorder="1" applyAlignment="1">
      <alignment horizontal="center" vertical="center"/>
    </xf>
    <xf numFmtId="0" fontId="65" fillId="13" borderId="82" xfId="19" applyFont="1" applyFill="1" applyBorder="1" applyAlignment="1">
      <alignment horizontal="center" vertical="center"/>
    </xf>
    <xf numFmtId="0" fontId="65" fillId="13" borderId="65" xfId="19" applyFont="1" applyFill="1" applyBorder="1" applyAlignment="1">
      <alignment horizontal="center" vertical="center"/>
    </xf>
    <xf numFmtId="41" fontId="85" fillId="12" borderId="80" xfId="20" applyFont="1" applyFill="1" applyBorder="1" applyAlignment="1">
      <alignment horizontal="right" vertical="center"/>
    </xf>
    <xf numFmtId="41" fontId="85" fillId="16" borderId="79" xfId="20" applyFont="1" applyFill="1" applyBorder="1" applyAlignment="1">
      <alignment horizontal="right" vertical="center"/>
    </xf>
    <xf numFmtId="0" fontId="65" fillId="16" borderId="79" xfId="19" applyFont="1" applyFill="1" applyBorder="1" applyAlignment="1">
      <alignment horizontal="center" vertical="center"/>
    </xf>
    <xf numFmtId="41" fontId="1" fillId="16" borderId="79" xfId="19" applyNumberFormat="1" applyFill="1" applyBorder="1" applyAlignment="1">
      <alignment horizontal="right" vertical="center"/>
    </xf>
    <xf numFmtId="41" fontId="1" fillId="16" borderId="66" xfId="19" applyNumberFormat="1" applyFill="1" applyBorder="1" applyAlignment="1">
      <alignment horizontal="right" vertical="center"/>
    </xf>
    <xf numFmtId="41" fontId="1" fillId="0" borderId="0" xfId="19" applyNumberFormat="1">
      <alignment vertical="center"/>
    </xf>
    <xf numFmtId="0" fontId="1" fillId="5" borderId="79" xfId="19" applyFill="1" applyBorder="1" applyAlignment="1">
      <alignment horizontal="center" vertical="center"/>
    </xf>
    <xf numFmtId="41" fontId="0" fillId="0" borderId="79" xfId="20" applyFont="1" applyBorder="1" applyAlignment="1">
      <alignment horizontal="right" vertical="center"/>
    </xf>
    <xf numFmtId="41" fontId="0" fillId="0" borderId="53" xfId="20" applyFont="1" applyBorder="1" applyAlignment="1">
      <alignment horizontal="right" vertical="center"/>
    </xf>
    <xf numFmtId="0" fontId="1" fillId="17" borderId="79" xfId="19" applyFill="1" applyBorder="1" applyAlignment="1">
      <alignment horizontal="center" vertical="center"/>
    </xf>
    <xf numFmtId="41" fontId="1" fillId="17" borderId="79" xfId="19" applyNumberFormat="1" applyFill="1" applyBorder="1" applyAlignment="1">
      <alignment horizontal="right" vertical="center"/>
    </xf>
    <xf numFmtId="41" fontId="1" fillId="17" borderId="66" xfId="19" applyNumberFormat="1" applyFill="1" applyBorder="1" applyAlignment="1">
      <alignment horizontal="right" vertical="center"/>
    </xf>
    <xf numFmtId="41" fontId="0" fillId="16" borderId="79" xfId="20" applyFont="1" applyFill="1" applyBorder="1" applyAlignment="1">
      <alignment horizontal="right" vertical="center"/>
    </xf>
    <xf numFmtId="0" fontId="1" fillId="14" borderId="79" xfId="19" applyFill="1" applyBorder="1" applyAlignment="1">
      <alignment horizontal="center" vertical="center"/>
    </xf>
    <xf numFmtId="0" fontId="28" fillId="14" borderId="80" xfId="19" applyFont="1" applyFill="1" applyBorder="1" applyAlignment="1">
      <alignment vertical="center" wrapText="1"/>
    </xf>
    <xf numFmtId="0" fontId="28" fillId="14" borderId="54" xfId="19" applyFont="1" applyFill="1" applyBorder="1" applyAlignment="1">
      <alignment vertical="center" wrapText="1"/>
    </xf>
    <xf numFmtId="41" fontId="1" fillId="0" borderId="79" xfId="20" applyFont="1" applyFill="1" applyBorder="1" applyAlignment="1">
      <alignment horizontal="right" vertical="center"/>
    </xf>
    <xf numFmtId="0" fontId="1" fillId="15" borderId="79" xfId="19" applyFill="1" applyBorder="1" applyAlignment="1">
      <alignment horizontal="center" vertical="center"/>
    </xf>
    <xf numFmtId="0" fontId="1" fillId="15" borderId="80" xfId="19" applyFill="1" applyBorder="1" applyAlignment="1">
      <alignment vertical="center" wrapText="1"/>
    </xf>
    <xf numFmtId="0" fontId="1" fillId="15" borderId="54" xfId="19" applyFill="1" applyBorder="1" applyAlignment="1">
      <alignment vertical="center" wrapText="1"/>
    </xf>
    <xf numFmtId="41" fontId="1" fillId="17" borderId="67" xfId="19" applyNumberFormat="1" applyFill="1" applyBorder="1" applyAlignment="1">
      <alignment horizontal="right" vertical="center"/>
    </xf>
    <xf numFmtId="0" fontId="1" fillId="15" borderId="80" xfId="19" applyFill="1" applyBorder="1" applyAlignment="1">
      <alignment horizontal="left" vertical="center"/>
    </xf>
    <xf numFmtId="0" fontId="1" fillId="15" borderId="96" xfId="19" applyFill="1" applyBorder="1" applyAlignment="1">
      <alignment vertical="center"/>
    </xf>
    <xf numFmtId="41" fontId="0" fillId="11" borderId="79" xfId="20" applyFont="1" applyFill="1" applyBorder="1" applyAlignment="1">
      <alignment horizontal="right" vertical="center"/>
    </xf>
    <xf numFmtId="0" fontId="1" fillId="14" borderId="79" xfId="19" applyFill="1" applyBorder="1">
      <alignment vertical="center"/>
    </xf>
    <xf numFmtId="41" fontId="1" fillId="14" borderId="79" xfId="19" applyNumberFormat="1" applyFill="1" applyBorder="1">
      <alignment vertical="center"/>
    </xf>
    <xf numFmtId="41" fontId="1" fillId="14" borderId="79" xfId="19" applyNumberFormat="1" applyFill="1" applyBorder="1" applyAlignment="1">
      <alignment horizontal="right" vertical="center"/>
    </xf>
    <xf numFmtId="0" fontId="1" fillId="15" borderId="54" xfId="19" applyFill="1" applyBorder="1" applyAlignment="1">
      <alignment horizontal="left" vertical="center"/>
    </xf>
    <xf numFmtId="0" fontId="1" fillId="15" borderId="80" xfId="19" applyFill="1" applyBorder="1" applyAlignment="1">
      <alignment vertical="center"/>
    </xf>
    <xf numFmtId="0" fontId="1" fillId="15" borderId="81" xfId="19" applyFill="1" applyBorder="1" applyAlignment="1">
      <alignment vertical="center"/>
    </xf>
    <xf numFmtId="0" fontId="86" fillId="0" borderId="0" xfId="19" applyFont="1" applyAlignment="1">
      <alignment horizontal="right" vertical="center"/>
    </xf>
    <xf numFmtId="0" fontId="1" fillId="14" borderId="80" xfId="19" applyFill="1" applyBorder="1" applyAlignment="1">
      <alignment horizontal="left" vertical="center"/>
    </xf>
    <xf numFmtId="0" fontId="1" fillId="14" borderId="81" xfId="19" applyFill="1" applyBorder="1" applyAlignment="1">
      <alignment horizontal="left" vertical="center"/>
    </xf>
    <xf numFmtId="0" fontId="1" fillId="14" borderId="79" xfId="19" applyFont="1" applyFill="1" applyBorder="1" applyAlignment="1">
      <alignment vertical="center"/>
    </xf>
    <xf numFmtId="0" fontId="1" fillId="14" borderId="79" xfId="19" applyFill="1" applyBorder="1" applyAlignment="1">
      <alignment vertical="center"/>
    </xf>
    <xf numFmtId="41" fontId="58" fillId="0" borderId="79" xfId="20" applyFont="1" applyBorder="1">
      <alignment vertical="center"/>
    </xf>
    <xf numFmtId="0" fontId="65" fillId="16" borderId="86" xfId="19" applyFont="1" applyFill="1" applyBorder="1" applyAlignment="1">
      <alignment horizontal="center" vertical="center"/>
    </xf>
    <xf numFmtId="41" fontId="0" fillId="12" borderId="79" xfId="20" applyFont="1" applyFill="1" applyBorder="1" applyAlignment="1">
      <alignment horizontal="right" vertical="center"/>
    </xf>
    <xf numFmtId="0" fontId="1" fillId="0" borderId="79" xfId="19" applyBorder="1" applyAlignment="1">
      <alignment horizontal="center" vertical="center"/>
    </xf>
    <xf numFmtId="41" fontId="1" fillId="11" borderId="79" xfId="20" applyFont="1" applyFill="1" applyBorder="1" applyAlignment="1">
      <alignment horizontal="right" vertical="center"/>
    </xf>
    <xf numFmtId="41" fontId="0" fillId="17" borderId="79" xfId="20" applyFont="1" applyFill="1" applyBorder="1" applyAlignment="1">
      <alignment horizontal="right" vertical="center"/>
    </xf>
    <xf numFmtId="41" fontId="58" fillId="11" borderId="79" xfId="20" applyFont="1" applyFill="1" applyBorder="1" applyAlignment="1">
      <alignment horizontal="right" vertical="center"/>
    </xf>
    <xf numFmtId="0" fontId="1" fillId="10" borderId="79" xfId="19" applyFill="1" applyBorder="1" applyAlignment="1">
      <alignment horizontal="center" vertical="center"/>
    </xf>
    <xf numFmtId="0" fontId="1" fillId="0" borderId="0" xfId="19" applyBorder="1" applyAlignment="1">
      <alignment horizontal="center" vertical="center"/>
    </xf>
    <xf numFmtId="41" fontId="68" fillId="11" borderId="0" xfId="20" applyFont="1" applyFill="1" applyBorder="1" applyAlignment="1">
      <alignment horizontal="right" vertical="center"/>
    </xf>
    <xf numFmtId="41" fontId="0" fillId="0" borderId="0" xfId="20" applyFont="1" applyBorder="1" applyAlignment="1">
      <alignment horizontal="right" vertical="center"/>
    </xf>
    <xf numFmtId="41" fontId="0" fillId="17" borderId="0" xfId="20" applyFont="1" applyFill="1" applyBorder="1" applyAlignment="1">
      <alignment horizontal="right" vertical="center"/>
    </xf>
    <xf numFmtId="41" fontId="0" fillId="12" borderId="79" xfId="20" applyFont="1" applyFill="1" applyBorder="1">
      <alignment vertical="center"/>
    </xf>
    <xf numFmtId="0" fontId="1" fillId="10" borderId="79" xfId="19" applyFill="1" applyBorder="1">
      <alignment vertical="center"/>
    </xf>
    <xf numFmtId="0" fontId="1" fillId="14" borderId="79" xfId="19" applyFill="1" applyBorder="1" applyAlignment="1">
      <alignment horizontal="left" vertical="center"/>
    </xf>
    <xf numFmtId="41" fontId="58" fillId="14" borderId="79" xfId="20" applyFont="1" applyFill="1" applyBorder="1" applyAlignment="1">
      <alignment horizontal="center" vertical="center"/>
    </xf>
    <xf numFmtId="41" fontId="58" fillId="10" borderId="79" xfId="20" applyFont="1" applyFill="1" applyBorder="1" applyAlignment="1">
      <alignment horizontal="center" vertical="center"/>
    </xf>
    <xf numFmtId="41" fontId="58" fillId="15" borderId="79" xfId="20" applyFont="1" applyFill="1" applyBorder="1" applyAlignment="1">
      <alignment horizontal="center" vertical="center"/>
    </xf>
    <xf numFmtId="41" fontId="77" fillId="10" borderId="79" xfId="20" applyFont="1" applyFill="1" applyBorder="1" applyAlignment="1">
      <alignment horizontal="center" vertical="center" wrapText="1"/>
    </xf>
    <xf numFmtId="41" fontId="58" fillId="0" borderId="79" xfId="20" applyFont="1" applyFill="1" applyBorder="1">
      <alignment vertical="center"/>
    </xf>
    <xf numFmtId="41" fontId="103" fillId="0" borderId="79" xfId="1" applyFont="1" applyBorder="1" applyAlignment="1">
      <alignment horizontal="center" vertical="center" wrapText="1"/>
    </xf>
    <xf numFmtId="41" fontId="103" fillId="0" borderId="79" xfId="1" applyFont="1" applyBorder="1" applyAlignment="1">
      <alignment horizontal="center" vertical="center"/>
    </xf>
    <xf numFmtId="41" fontId="15" fillId="8" borderId="79" xfId="1" applyFont="1" applyFill="1" applyBorder="1" applyAlignment="1">
      <alignment horizontal="center" vertical="center"/>
    </xf>
    <xf numFmtId="41" fontId="14" fillId="5" borderId="79" xfId="1" applyFont="1" applyFill="1" applyBorder="1" applyAlignment="1">
      <alignment horizontal="center" vertical="center"/>
    </xf>
    <xf numFmtId="0" fontId="107" fillId="0" borderId="87" xfId="0" applyFont="1" applyBorder="1" applyAlignment="1">
      <alignment horizontal="center" vertical="center"/>
    </xf>
    <xf numFmtId="0" fontId="107" fillId="0" borderId="88" xfId="0" applyFont="1" applyBorder="1" applyAlignment="1">
      <alignment horizontal="center" vertical="center"/>
    </xf>
    <xf numFmtId="176" fontId="27" fillId="0" borderId="51" xfId="1" applyNumberFormat="1" applyFont="1" applyBorder="1" applyAlignment="1">
      <alignment horizontal="center" vertical="center" wrapText="1"/>
    </xf>
    <xf numFmtId="176" fontId="61" fillId="0" borderId="50" xfId="1" applyNumberFormat="1" applyFont="1" applyBorder="1" applyAlignment="1">
      <alignment horizontal="center" vertical="center" wrapText="1"/>
    </xf>
    <xf numFmtId="176" fontId="27" fillId="0" borderId="79" xfId="1" applyNumberFormat="1" applyFont="1" applyBorder="1" applyAlignment="1">
      <alignment horizontal="center" vertical="center" wrapText="1"/>
    </xf>
    <xf numFmtId="0" fontId="92" fillId="0" borderId="0" xfId="0" applyFont="1" applyBorder="1" applyAlignment="1">
      <alignment horizontal="center" vertical="center"/>
    </xf>
    <xf numFmtId="41" fontId="15" fillId="0" borderId="79" xfId="1" applyFont="1" applyBorder="1" applyAlignment="1">
      <alignment horizontal="center" vertical="center" wrapText="1"/>
    </xf>
    <xf numFmtId="41" fontId="15" fillId="0" borderId="79" xfId="1" applyFont="1" applyBorder="1" applyAlignment="1">
      <alignment horizontal="center" vertical="center"/>
    </xf>
    <xf numFmtId="176" fontId="15" fillId="0" borderId="79" xfId="1" applyNumberFormat="1" applyFont="1" applyBorder="1" applyAlignment="1">
      <alignment horizontal="center" vertical="center" wrapText="1"/>
    </xf>
    <xf numFmtId="176" fontId="27" fillId="0" borderId="80" xfId="1" applyNumberFormat="1" applyFont="1" applyBorder="1" applyAlignment="1">
      <alignment horizontal="center" vertical="center" wrapText="1"/>
    </xf>
    <xf numFmtId="0" fontId="55" fillId="0" borderId="0" xfId="0" applyFont="1" applyBorder="1" applyAlignment="1">
      <alignment horizontal="right" vertical="center"/>
    </xf>
    <xf numFmtId="176" fontId="15" fillId="0" borderId="82" xfId="1" applyNumberFormat="1" applyFont="1" applyBorder="1" applyAlignment="1">
      <alignment horizontal="center" vertical="center"/>
    </xf>
    <xf numFmtId="176" fontId="15" fillId="0" borderId="79" xfId="1" applyNumberFormat="1" applyFont="1" applyBorder="1" applyAlignment="1">
      <alignment horizontal="center" vertical="center"/>
    </xf>
    <xf numFmtId="0" fontId="46" fillId="5" borderId="43" xfId="3" applyFont="1" applyFill="1" applyBorder="1" applyAlignment="1">
      <alignment horizontal="center" vertical="center" wrapText="1"/>
    </xf>
    <xf numFmtId="178" fontId="44" fillId="9" borderId="38" xfId="3" applyNumberFormat="1" applyFont="1" applyFill="1" applyBorder="1" applyAlignment="1">
      <alignment horizontal="center" vertical="center" wrapText="1"/>
    </xf>
    <xf numFmtId="178" fontId="44" fillId="9" borderId="4" xfId="3" applyNumberFormat="1" applyFont="1" applyFill="1" applyBorder="1" applyAlignment="1">
      <alignment horizontal="center" vertical="center" wrapText="1"/>
    </xf>
    <xf numFmtId="178" fontId="44" fillId="9" borderId="40" xfId="3" applyNumberFormat="1" applyFont="1" applyFill="1" applyBorder="1" applyAlignment="1">
      <alignment horizontal="center" vertical="center" wrapText="1"/>
    </xf>
    <xf numFmtId="178" fontId="44" fillId="9" borderId="41" xfId="3" applyNumberFormat="1" applyFont="1" applyFill="1" applyBorder="1" applyAlignment="1">
      <alignment horizontal="center" vertical="center" wrapText="1"/>
    </xf>
    <xf numFmtId="0" fontId="44" fillId="6" borderId="45" xfId="3" applyFont="1" applyFill="1" applyBorder="1" applyAlignment="1">
      <alignment horizontal="center" vertical="center" wrapText="1"/>
    </xf>
    <xf numFmtId="0" fontId="44" fillId="6" borderId="43" xfId="3" applyFont="1" applyFill="1" applyBorder="1" applyAlignment="1">
      <alignment horizontal="center" vertical="center" wrapText="1"/>
    </xf>
    <xf numFmtId="0" fontId="44" fillId="6" borderId="48" xfId="3" applyFont="1" applyFill="1" applyBorder="1" applyAlignment="1">
      <alignment horizontal="center" vertical="center" wrapText="1"/>
    </xf>
    <xf numFmtId="178" fontId="44" fillId="9" borderId="37" xfId="3" applyNumberFormat="1" applyFont="1" applyFill="1" applyBorder="1" applyAlignment="1">
      <alignment horizontal="center" vertical="center" wrapText="1"/>
    </xf>
    <xf numFmtId="178" fontId="44" fillId="9" borderId="1" xfId="3" applyNumberFormat="1" applyFont="1" applyFill="1" applyBorder="1" applyAlignment="1">
      <alignment horizontal="center" vertical="center" wrapText="1"/>
    </xf>
    <xf numFmtId="0" fontId="44" fillId="6" borderId="47" xfId="3" applyFont="1" applyFill="1" applyBorder="1" applyAlignment="1">
      <alignment horizontal="center" vertical="center" wrapText="1"/>
    </xf>
    <xf numFmtId="0" fontId="93" fillId="0" borderId="0" xfId="3" applyFont="1" applyAlignment="1">
      <alignment horizontal="center" vertical="center"/>
    </xf>
    <xf numFmtId="0" fontId="46" fillId="9" borderId="35" xfId="3" applyFont="1" applyFill="1" applyBorder="1" applyAlignment="1">
      <alignment horizontal="center" vertical="center" wrapText="1"/>
    </xf>
    <xf numFmtId="0" fontId="46" fillId="9" borderId="42" xfId="3" applyFont="1" applyFill="1" applyBorder="1" applyAlignment="1">
      <alignment horizontal="center" vertical="center" wrapText="1"/>
    </xf>
    <xf numFmtId="0" fontId="46" fillId="9" borderId="36" xfId="3" applyFont="1" applyFill="1" applyBorder="1" applyAlignment="1">
      <alignment horizontal="center" vertical="center" wrapText="1"/>
    </xf>
    <xf numFmtId="0" fontId="46" fillId="9" borderId="26" xfId="3" applyFont="1" applyFill="1" applyBorder="1" applyAlignment="1">
      <alignment horizontal="center" vertical="center" wrapText="1"/>
    </xf>
    <xf numFmtId="0" fontId="44" fillId="9" borderId="31" xfId="3" applyFont="1" applyFill="1" applyBorder="1" applyAlignment="1">
      <alignment horizontal="center" vertical="center" wrapText="1"/>
    </xf>
    <xf numFmtId="0" fontId="44" fillId="9" borderId="32" xfId="3" applyFont="1" applyFill="1" applyBorder="1" applyAlignment="1">
      <alignment horizontal="center" vertical="center" wrapText="1"/>
    </xf>
    <xf numFmtId="178" fontId="44" fillId="9" borderId="39" xfId="3" applyNumberFormat="1" applyFont="1" applyFill="1" applyBorder="1" applyAlignment="1">
      <alignment horizontal="center" vertical="center" wrapText="1"/>
    </xf>
    <xf numFmtId="0" fontId="57" fillId="9" borderId="7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right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7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7" fillId="2" borderId="2" xfId="0" applyFont="1" applyFill="1" applyBorder="1" applyAlignment="1">
      <alignment horizontal="center" vertical="center"/>
    </xf>
    <xf numFmtId="41" fontId="47" fillId="2" borderId="1" xfId="1" applyFont="1" applyFill="1" applyBorder="1" applyAlignment="1">
      <alignment horizontal="center" vertical="center" wrapText="1"/>
    </xf>
    <xf numFmtId="41" fontId="47" fillId="2" borderId="1" xfId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46" fillId="18" borderId="43" xfId="3" applyFont="1" applyFill="1" applyBorder="1" applyAlignment="1">
      <alignment horizontal="center" vertical="center" shrinkToFit="1"/>
    </xf>
    <xf numFmtId="0" fontId="44" fillId="18" borderId="45" xfId="3" applyFont="1" applyFill="1" applyBorder="1" applyAlignment="1">
      <alignment horizontal="center" vertical="center" shrinkToFit="1"/>
    </xf>
    <xf numFmtId="0" fontId="44" fillId="18" borderId="43" xfId="3" applyFont="1" applyFill="1" applyBorder="1" applyAlignment="1">
      <alignment horizontal="center" vertical="center" shrinkToFit="1"/>
    </xf>
    <xf numFmtId="0" fontId="44" fillId="18" borderId="47" xfId="3" applyFont="1" applyFill="1" applyBorder="1" applyAlignment="1">
      <alignment horizontal="center" vertical="center" shrinkToFit="1"/>
    </xf>
    <xf numFmtId="0" fontId="44" fillId="18" borderId="48" xfId="3" applyFont="1" applyFill="1" applyBorder="1" applyAlignment="1">
      <alignment horizontal="center" vertical="center" shrinkToFit="1"/>
    </xf>
    <xf numFmtId="0" fontId="46" fillId="18" borderId="35" xfId="3" applyFont="1" applyFill="1" applyBorder="1" applyAlignment="1">
      <alignment horizontal="center" vertical="center" shrinkToFit="1"/>
    </xf>
    <xf numFmtId="0" fontId="46" fillId="18" borderId="42" xfId="3" applyFont="1" applyFill="1" applyBorder="1" applyAlignment="1">
      <alignment horizontal="center" vertical="center" shrinkToFit="1"/>
    </xf>
    <xf numFmtId="0" fontId="46" fillId="18" borderId="36" xfId="3" applyFont="1" applyFill="1" applyBorder="1" applyAlignment="1">
      <alignment horizontal="center" vertical="center" wrapText="1"/>
    </xf>
    <xf numFmtId="0" fontId="46" fillId="18" borderId="26" xfId="3" applyFont="1" applyFill="1" applyBorder="1" applyAlignment="1">
      <alignment horizontal="center" vertical="center" wrapText="1"/>
    </xf>
    <xf numFmtId="178" fontId="44" fillId="18" borderId="37" xfId="3" applyNumberFormat="1" applyFont="1" applyFill="1" applyBorder="1" applyAlignment="1">
      <alignment horizontal="center" vertical="center" wrapText="1"/>
    </xf>
    <xf numFmtId="178" fontId="44" fillId="18" borderId="1" xfId="3" applyNumberFormat="1" applyFont="1" applyFill="1" applyBorder="1" applyAlignment="1">
      <alignment horizontal="center" vertical="center" wrapText="1"/>
    </xf>
    <xf numFmtId="178" fontId="44" fillId="18" borderId="38" xfId="3" applyNumberFormat="1" applyFont="1" applyFill="1" applyBorder="1" applyAlignment="1">
      <alignment horizontal="center" vertical="center" wrapText="1"/>
    </xf>
    <xf numFmtId="178" fontId="44" fillId="18" borderId="4" xfId="3" applyNumberFormat="1" applyFont="1" applyFill="1" applyBorder="1" applyAlignment="1">
      <alignment horizontal="center" vertical="center" wrapText="1"/>
    </xf>
    <xf numFmtId="178" fontId="44" fillId="18" borderId="39" xfId="3" applyNumberFormat="1" applyFont="1" applyFill="1" applyBorder="1" applyAlignment="1">
      <alignment horizontal="center" vertical="center" wrapText="1"/>
    </xf>
    <xf numFmtId="0" fontId="57" fillId="18" borderId="7" xfId="0" applyFont="1" applyFill="1" applyBorder="1" applyAlignment="1">
      <alignment horizontal="center" vertical="center"/>
    </xf>
    <xf numFmtId="178" fontId="44" fillId="18" borderId="40" xfId="3" applyNumberFormat="1" applyFont="1" applyFill="1" applyBorder="1" applyAlignment="1">
      <alignment horizontal="center" vertical="center" wrapText="1"/>
    </xf>
    <xf numFmtId="178" fontId="44" fillId="18" borderId="41" xfId="3" applyNumberFormat="1" applyFont="1" applyFill="1" applyBorder="1" applyAlignment="1">
      <alignment horizontal="center" vertical="center" wrapText="1"/>
    </xf>
    <xf numFmtId="0" fontId="44" fillId="18" borderId="31" xfId="3" applyFont="1" applyFill="1" applyBorder="1" applyAlignment="1">
      <alignment horizontal="center" vertical="center" wrapText="1"/>
    </xf>
    <xf numFmtId="0" fontId="44" fillId="18" borderId="32" xfId="3" applyFont="1" applyFill="1" applyBorder="1" applyAlignment="1">
      <alignment horizontal="center" vertical="center" wrapText="1"/>
    </xf>
    <xf numFmtId="0" fontId="78" fillId="0" borderId="0" xfId="0" applyFont="1" applyAlignment="1">
      <alignment horizontal="center" vertical="center"/>
    </xf>
    <xf numFmtId="0" fontId="51" fillId="2" borderId="1" xfId="0" applyFont="1" applyFill="1" applyBorder="1" applyAlignment="1">
      <alignment horizontal="center" vertical="center"/>
    </xf>
    <xf numFmtId="0" fontId="51" fillId="2" borderId="2" xfId="0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 wrapText="1"/>
    </xf>
    <xf numFmtId="41" fontId="51" fillId="2" borderId="1" xfId="2" applyFont="1" applyFill="1" applyBorder="1" applyAlignment="1">
      <alignment horizontal="center" vertical="center" wrapText="1"/>
    </xf>
    <xf numFmtId="41" fontId="51" fillId="2" borderId="2" xfId="2" applyFont="1" applyFill="1" applyBorder="1" applyAlignment="1">
      <alignment horizontal="center" vertical="center"/>
    </xf>
    <xf numFmtId="0" fontId="51" fillId="2" borderId="11" xfId="0" applyFont="1" applyFill="1" applyBorder="1" applyAlignment="1">
      <alignment horizontal="center" vertical="center"/>
    </xf>
    <xf numFmtId="0" fontId="51" fillId="2" borderId="20" xfId="0" applyFont="1" applyFill="1" applyBorder="1" applyAlignment="1">
      <alignment horizontal="center" vertical="center"/>
    </xf>
    <xf numFmtId="0" fontId="59" fillId="2" borderId="2" xfId="0" applyFont="1" applyFill="1" applyBorder="1" applyAlignment="1">
      <alignment horizontal="center" vertical="center"/>
    </xf>
    <xf numFmtId="0" fontId="71" fillId="2" borderId="59" xfId="0" applyFont="1" applyFill="1" applyBorder="1" applyAlignment="1">
      <alignment horizontal="center" vertical="center"/>
    </xf>
    <xf numFmtId="0" fontId="71" fillId="2" borderId="60" xfId="0" applyFont="1" applyFill="1" applyBorder="1" applyAlignment="1">
      <alignment horizontal="center" vertical="center"/>
    </xf>
    <xf numFmtId="0" fontId="51" fillId="2" borderId="51" xfId="0" applyFont="1" applyFill="1" applyBorder="1" applyAlignment="1">
      <alignment horizontal="center" vertical="center"/>
    </xf>
    <xf numFmtId="0" fontId="51" fillId="2" borderId="77" xfId="0" applyFont="1" applyFill="1" applyBorder="1" applyAlignment="1">
      <alignment horizontal="center" vertical="center"/>
    </xf>
    <xf numFmtId="0" fontId="51" fillId="2" borderId="79" xfId="0" applyFont="1" applyFill="1" applyBorder="1" applyAlignment="1">
      <alignment horizontal="center" vertical="center"/>
    </xf>
    <xf numFmtId="0" fontId="51" fillId="2" borderId="82" xfId="0" applyFont="1" applyFill="1" applyBorder="1" applyAlignment="1">
      <alignment horizontal="center" vertical="center"/>
    </xf>
    <xf numFmtId="41" fontId="51" fillId="2" borderId="82" xfId="2" applyFont="1" applyFill="1" applyBorder="1" applyAlignment="1">
      <alignment horizontal="center" vertical="center" wrapText="1"/>
    </xf>
    <xf numFmtId="41" fontId="51" fillId="2" borderId="86" xfId="2" applyFont="1" applyFill="1" applyBorder="1" applyAlignment="1">
      <alignment horizontal="center" vertical="center" wrapText="1"/>
    </xf>
    <xf numFmtId="41" fontId="51" fillId="2" borderId="1" xfId="10" applyFont="1" applyFill="1" applyBorder="1" applyAlignment="1">
      <alignment horizontal="center" vertical="center" wrapText="1"/>
    </xf>
    <xf numFmtId="41" fontId="51" fillId="2" borderId="1" xfId="10" applyFont="1" applyFill="1" applyBorder="1" applyAlignment="1">
      <alignment horizontal="center" vertical="center"/>
    </xf>
    <xf numFmtId="0" fontId="71" fillId="2" borderId="68" xfId="0" applyFont="1" applyFill="1" applyBorder="1" applyAlignment="1">
      <alignment horizontal="center" vertical="center"/>
    </xf>
    <xf numFmtId="0" fontId="71" fillId="2" borderId="69" xfId="0" applyFont="1" applyFill="1" applyBorder="1" applyAlignment="1">
      <alignment horizontal="center" vertical="center"/>
    </xf>
    <xf numFmtId="0" fontId="51" fillId="2" borderId="70" xfId="0" applyFont="1" applyFill="1" applyBorder="1" applyAlignment="1">
      <alignment horizontal="center" vertical="center"/>
    </xf>
    <xf numFmtId="0" fontId="51" fillId="2" borderId="74" xfId="0" applyFont="1" applyFill="1" applyBorder="1" applyAlignment="1">
      <alignment horizontal="center" vertical="center"/>
    </xf>
    <xf numFmtId="41" fontId="51" fillId="2" borderId="1" xfId="2" applyFont="1" applyFill="1" applyBorder="1" applyAlignment="1">
      <alignment horizontal="center" vertical="center"/>
    </xf>
    <xf numFmtId="0" fontId="51" fillId="2" borderId="71" xfId="0" applyFont="1" applyFill="1" applyBorder="1" applyAlignment="1">
      <alignment horizontal="center" vertical="center"/>
    </xf>
    <xf numFmtId="0" fontId="59" fillId="2" borderId="89" xfId="0" applyFont="1" applyFill="1" applyBorder="1" applyAlignment="1">
      <alignment horizontal="center" vertical="center"/>
    </xf>
    <xf numFmtId="0" fontId="71" fillId="2" borderId="90" xfId="0" applyFont="1" applyFill="1" applyBorder="1" applyAlignment="1">
      <alignment horizontal="center" vertical="center"/>
    </xf>
    <xf numFmtId="0" fontId="71" fillId="2" borderId="91" xfId="0" applyFont="1" applyFill="1" applyBorder="1" applyAlignment="1">
      <alignment horizontal="center" vertical="center"/>
    </xf>
    <xf numFmtId="0" fontId="1" fillId="15" borderId="79" xfId="19" applyFill="1" applyBorder="1" applyAlignment="1">
      <alignment horizontal="left" vertical="center"/>
    </xf>
    <xf numFmtId="0" fontId="1" fillId="10" borderId="79" xfId="19" applyFill="1" applyBorder="1" applyAlignment="1">
      <alignment horizontal="left" vertical="center"/>
    </xf>
    <xf numFmtId="0" fontId="1" fillId="10" borderId="79" xfId="19" applyFill="1" applyBorder="1" applyAlignment="1">
      <alignment horizontal="left" vertical="center" wrapText="1"/>
    </xf>
    <xf numFmtId="0" fontId="1" fillId="0" borderId="0" xfId="19" applyFill="1" applyBorder="1" applyAlignment="1">
      <alignment horizontal="left" vertical="center"/>
    </xf>
    <xf numFmtId="0" fontId="1" fillId="0" borderId="0" xfId="19" applyBorder="1" applyAlignment="1">
      <alignment horizontal="left" vertical="center"/>
    </xf>
    <xf numFmtId="0" fontId="1" fillId="16" borderId="80" xfId="19" applyFill="1" applyBorder="1" applyAlignment="1">
      <alignment horizontal="center" vertical="center"/>
    </xf>
    <xf numFmtId="0" fontId="1" fillId="16" borderId="81" xfId="19" applyFill="1" applyBorder="1" applyAlignment="1">
      <alignment horizontal="center" vertical="center"/>
    </xf>
    <xf numFmtId="0" fontId="1" fillId="14" borderId="79" xfId="19" applyFill="1" applyBorder="1" applyAlignment="1">
      <alignment horizontal="left" vertical="center"/>
    </xf>
    <xf numFmtId="0" fontId="1" fillId="10" borderId="79" xfId="19" applyFill="1" applyBorder="1" applyAlignment="1">
      <alignment horizontal="center" vertical="center"/>
    </xf>
    <xf numFmtId="0" fontId="1" fillId="0" borderId="0" xfId="19" applyAlignment="1">
      <alignment horizontal="left" vertical="center"/>
    </xf>
    <xf numFmtId="0" fontId="65" fillId="13" borderId="79" xfId="19" applyFont="1" applyFill="1" applyBorder="1" applyAlignment="1">
      <alignment horizontal="center" vertical="center"/>
    </xf>
    <xf numFmtId="0" fontId="65" fillId="13" borderId="80" xfId="19" applyFont="1" applyFill="1" applyBorder="1" applyAlignment="1">
      <alignment horizontal="center" vertical="center"/>
    </xf>
    <xf numFmtId="0" fontId="65" fillId="13" borderId="81" xfId="19" applyFont="1" applyFill="1" applyBorder="1" applyAlignment="1">
      <alignment horizontal="center" vertical="center"/>
    </xf>
    <xf numFmtId="0" fontId="1" fillId="17" borderId="79" xfId="19" applyFill="1" applyBorder="1" applyAlignment="1">
      <alignment horizontal="center" vertical="center"/>
    </xf>
    <xf numFmtId="0" fontId="65" fillId="13" borderId="82" xfId="19" applyFont="1" applyFill="1" applyBorder="1" applyAlignment="1">
      <alignment horizontal="center" vertical="center"/>
    </xf>
    <xf numFmtId="0" fontId="65" fillId="13" borderId="86" xfId="19" applyFont="1" applyFill="1" applyBorder="1" applyAlignment="1">
      <alignment horizontal="center" vertical="center"/>
    </xf>
    <xf numFmtId="0" fontId="65" fillId="13" borderId="54" xfId="19" applyFont="1" applyFill="1" applyBorder="1" applyAlignment="1">
      <alignment horizontal="center" vertical="center"/>
    </xf>
    <xf numFmtId="0" fontId="67" fillId="0" borderId="0" xfId="19" applyFont="1" applyAlignment="1">
      <alignment horizontal="center" vertical="center"/>
    </xf>
    <xf numFmtId="0" fontId="1" fillId="12" borderId="0" xfId="19" applyFill="1" applyAlignment="1">
      <alignment horizontal="center" vertical="center"/>
    </xf>
    <xf numFmtId="0" fontId="65" fillId="16" borderId="79" xfId="19" applyFont="1" applyFill="1" applyBorder="1" applyAlignment="1">
      <alignment horizontal="center" vertical="center"/>
    </xf>
    <xf numFmtId="0" fontId="1" fillId="5" borderId="79" xfId="19" applyFill="1" applyBorder="1" applyAlignment="1">
      <alignment horizontal="left" vertical="center"/>
    </xf>
    <xf numFmtId="41" fontId="54" fillId="0" borderId="1" xfId="2" applyFont="1" applyFill="1" applyBorder="1" applyAlignment="1">
      <alignment vertical="center" wrapText="1"/>
    </xf>
  </cellXfs>
  <cellStyles count="21">
    <cellStyle name="쉼표 [0]" xfId="1" builtinId="6"/>
    <cellStyle name="쉼표 [0] 2" xfId="2" xr:uid="{00000000-0005-0000-0000-000001000000}"/>
    <cellStyle name="쉼표 [0] 2 2" xfId="10" xr:uid="{00000000-0005-0000-0000-000002000000}"/>
    <cellStyle name="쉼표 [0] 3" xfId="5" xr:uid="{00000000-0005-0000-0000-000003000000}"/>
    <cellStyle name="쉼표 [0] 4" xfId="7" xr:uid="{00000000-0005-0000-0000-000004000000}"/>
    <cellStyle name="쉼표 [0] 5" xfId="9" xr:uid="{00000000-0005-0000-0000-000005000000}"/>
    <cellStyle name="쉼표 [0] 6" xfId="12" xr:uid="{00000000-0005-0000-0000-000006000000}"/>
    <cellStyle name="쉼표 [0] 6 2" xfId="16" xr:uid="{00000000-0005-0000-0000-000007000000}"/>
    <cellStyle name="쉼표 [0] 7" xfId="14" xr:uid="{00000000-0005-0000-0000-000008000000}"/>
    <cellStyle name="쉼표 [0] 8" xfId="18" xr:uid="{00000000-0005-0000-0000-000009000000}"/>
    <cellStyle name="쉼표 [0] 9" xfId="20" xr:uid="{00000000-0005-0000-0000-00000A000000}"/>
    <cellStyle name="표준" xfId="0" builtinId="0"/>
    <cellStyle name="표준 2" xfId="3" xr:uid="{00000000-0005-0000-0000-00000C000000}"/>
    <cellStyle name="표준 3" xfId="4" xr:uid="{00000000-0005-0000-0000-00000D000000}"/>
    <cellStyle name="표준 4" xfId="6" xr:uid="{00000000-0005-0000-0000-00000E000000}"/>
    <cellStyle name="표준 5" xfId="8" xr:uid="{00000000-0005-0000-0000-00000F000000}"/>
    <cellStyle name="표준 6" xfId="11" xr:uid="{00000000-0005-0000-0000-000010000000}"/>
    <cellStyle name="표준 6 2" xfId="15" xr:uid="{00000000-0005-0000-0000-000011000000}"/>
    <cellStyle name="표준 7" xfId="13" xr:uid="{00000000-0005-0000-0000-000012000000}"/>
    <cellStyle name="표준 8" xfId="17" xr:uid="{00000000-0005-0000-0000-000013000000}"/>
    <cellStyle name="표준 9" xfId="19" xr:uid="{00000000-0005-0000-0000-000014000000}"/>
  </cellStyles>
  <dxfs count="0"/>
  <tableStyles count="0" defaultTableStyle="TableStyleMedium9" defaultPivotStyle="PivotStyleLight16"/>
  <colors>
    <mruColors>
      <color rgb="FFCC99FF"/>
      <color rgb="FFFDB5FA"/>
      <color rgb="FF0232FE"/>
      <color rgb="FFF3FEB4"/>
      <color rgb="FF1919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클래식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25E18"/>
  </sheetPr>
  <dimension ref="A1:O23"/>
  <sheetViews>
    <sheetView view="pageBreakPreview" zoomScaleNormal="100" zoomScaleSheetLayoutView="100" workbookViewId="0">
      <selection activeCell="C24" sqref="C24"/>
    </sheetView>
  </sheetViews>
  <sheetFormatPr defaultRowHeight="13.5" x14ac:dyDescent="0.15"/>
  <cols>
    <col min="1" max="1" width="0.109375" style="1" customWidth="1"/>
    <col min="2" max="2" width="6.21875" style="1" customWidth="1"/>
    <col min="3" max="3" width="12.109375" style="1" customWidth="1"/>
    <col min="4" max="4" width="14.109375" style="227" customWidth="1"/>
    <col min="5" max="5" width="12.109375" style="227" customWidth="1"/>
    <col min="6" max="6" width="15.88671875" style="227" customWidth="1"/>
    <col min="7" max="7" width="13.44140625" style="227" customWidth="1"/>
    <col min="8" max="8" width="12.109375" style="227" customWidth="1"/>
    <col min="9" max="9" width="10.6640625" style="227" customWidth="1"/>
    <col min="10" max="10" width="15.21875" style="227" customWidth="1"/>
    <col min="11" max="11" width="8.33203125" style="1" customWidth="1"/>
    <col min="12" max="13" width="15" style="227" customWidth="1"/>
    <col min="14" max="14" width="19.5546875" style="1" customWidth="1"/>
    <col min="15" max="15" width="13.77734375" style="1" bestFit="1" customWidth="1"/>
    <col min="16" max="16384" width="8.88671875" style="1"/>
  </cols>
  <sheetData>
    <row r="1" spans="1:15" ht="50.25" customHeight="1" x14ac:dyDescent="0.15">
      <c r="A1" s="568" t="s">
        <v>235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241"/>
      <c r="M1" s="241"/>
    </row>
    <row r="2" spans="1:15" ht="24.75" customHeight="1" thickBot="1" x14ac:dyDescent="0.2">
      <c r="A2" s="244"/>
      <c r="B2" s="353"/>
      <c r="C2" s="353"/>
      <c r="D2" s="354"/>
      <c r="E2" s="354"/>
      <c r="F2" s="354"/>
      <c r="G2" s="354"/>
      <c r="H2" s="573" t="s">
        <v>24</v>
      </c>
      <c r="I2" s="573"/>
      <c r="J2" s="573"/>
      <c r="K2" s="573"/>
      <c r="L2" s="242"/>
      <c r="M2" s="242"/>
    </row>
    <row r="3" spans="1:15" ht="15.75" customHeight="1" thickBot="1" x14ac:dyDescent="0.2">
      <c r="A3" s="243"/>
      <c r="B3" s="570" t="s">
        <v>0</v>
      </c>
      <c r="C3" s="570"/>
      <c r="D3" s="567" t="s">
        <v>223</v>
      </c>
      <c r="E3" s="571" t="s">
        <v>172</v>
      </c>
      <c r="F3" s="567" t="s">
        <v>84</v>
      </c>
      <c r="G3" s="574" t="s">
        <v>54</v>
      </c>
      <c r="H3" s="575"/>
      <c r="I3" s="575"/>
      <c r="J3" s="571" t="s">
        <v>176</v>
      </c>
      <c r="K3" s="569" t="s">
        <v>171</v>
      </c>
      <c r="L3" s="565" t="s">
        <v>103</v>
      </c>
      <c r="M3" s="566" t="s">
        <v>107</v>
      </c>
      <c r="N3" s="563" t="s">
        <v>229</v>
      </c>
    </row>
    <row r="4" spans="1:15" ht="15.75" customHeight="1" thickTop="1" x14ac:dyDescent="0.15">
      <c r="A4" s="229"/>
      <c r="B4" s="570"/>
      <c r="C4" s="570"/>
      <c r="D4" s="567"/>
      <c r="E4" s="571"/>
      <c r="F4" s="572"/>
      <c r="G4" s="361" t="s">
        <v>85</v>
      </c>
      <c r="H4" s="360" t="s">
        <v>174</v>
      </c>
      <c r="I4" s="355" t="s">
        <v>175</v>
      </c>
      <c r="J4" s="571"/>
      <c r="K4" s="569"/>
      <c r="L4" s="565"/>
      <c r="M4" s="566"/>
      <c r="N4" s="564"/>
    </row>
    <row r="5" spans="1:15" ht="21.95" customHeight="1" x14ac:dyDescent="0.15">
      <c r="A5" s="229"/>
      <c r="B5" s="561" t="s">
        <v>1</v>
      </c>
      <c r="C5" s="561"/>
      <c r="D5" s="466">
        <f>D6+D7</f>
        <v>2929867422</v>
      </c>
      <c r="E5" s="466">
        <f>SUM(E6:E7)</f>
        <v>0</v>
      </c>
      <c r="F5" s="467">
        <f>SUM(F6:F7)</f>
        <v>2929867422</v>
      </c>
      <c r="G5" s="449">
        <f>G6+G7</f>
        <v>0</v>
      </c>
      <c r="H5" s="450">
        <f>SUM(H6:H7)</f>
        <v>0</v>
      </c>
      <c r="I5" s="451">
        <f>SUM(I6:I7)</f>
        <v>0</v>
      </c>
      <c r="J5" s="452">
        <f>J6+J7</f>
        <v>2929867422</v>
      </c>
      <c r="K5" s="453">
        <f>((-I5)/D5)*100</f>
        <v>0</v>
      </c>
      <c r="L5" s="245">
        <f>SUM(L6,L8,L11)</f>
        <v>0</v>
      </c>
      <c r="M5" s="246">
        <f>L5+I5</f>
        <v>0</v>
      </c>
      <c r="N5" s="366" t="s">
        <v>97</v>
      </c>
      <c r="O5" s="186"/>
    </row>
    <row r="6" spans="1:15" ht="21.95" customHeight="1" x14ac:dyDescent="0.15">
      <c r="A6" s="229"/>
      <c r="B6" s="562" t="s">
        <v>2</v>
      </c>
      <c r="C6" s="562"/>
      <c r="D6" s="454">
        <v>2445391822</v>
      </c>
      <c r="E6" s="468">
        <f>'1 일반회계(세입)'!K5</f>
        <v>0</v>
      </c>
      <c r="F6" s="469">
        <f t="shared" ref="F6:F8" si="0">D6-E6</f>
        <v>2445391822</v>
      </c>
      <c r="G6" s="455">
        <f>'(입력금지)상임위별 종합심사결과(총괄)'!G6</f>
        <v>0</v>
      </c>
      <c r="H6" s="456">
        <f>'(입력금지)상임위별 종합심사결과(총괄)'!H6</f>
        <v>0</v>
      </c>
      <c r="I6" s="457">
        <f t="shared" ref="I6" si="1">-(G6+H6)</f>
        <v>0</v>
      </c>
      <c r="J6" s="458">
        <f>D6-G6-(H6+I6)</f>
        <v>2445391822</v>
      </c>
      <c r="K6" s="459">
        <f t="shared" ref="K6:K22" si="2">((-I6)/D6)*100</f>
        <v>0</v>
      </c>
      <c r="L6" s="290"/>
      <c r="M6" s="291">
        <f t="shared" ref="M6:M22" si="3">L6+I6</f>
        <v>0</v>
      </c>
      <c r="N6" s="362" t="s">
        <v>98</v>
      </c>
    </row>
    <row r="7" spans="1:15" ht="21.95" customHeight="1" x14ac:dyDescent="0.15">
      <c r="A7" s="229"/>
      <c r="B7" s="562" t="s">
        <v>3</v>
      </c>
      <c r="C7" s="562"/>
      <c r="D7" s="470">
        <f>D8+D11</f>
        <v>484475600</v>
      </c>
      <c r="E7" s="468">
        <f>SUM(E8,E11)</f>
        <v>0</v>
      </c>
      <c r="F7" s="469">
        <f t="shared" si="0"/>
        <v>484475600</v>
      </c>
      <c r="G7" s="455">
        <f>SUM(G8,G11)</f>
        <v>0</v>
      </c>
      <c r="H7" s="456">
        <f>SUM(H8,H11)</f>
        <v>0</v>
      </c>
      <c r="I7" s="457">
        <f>SUM(I8,I11)</f>
        <v>0</v>
      </c>
      <c r="J7" s="458">
        <f>D7-G7-(H7+I7)</f>
        <v>484475600</v>
      </c>
      <c r="K7" s="459">
        <f t="shared" si="2"/>
        <v>0</v>
      </c>
      <c r="L7" s="247" t="s">
        <v>90</v>
      </c>
      <c r="M7" s="246"/>
      <c r="N7" s="362" t="s">
        <v>91</v>
      </c>
    </row>
    <row r="8" spans="1:15" ht="21.95" customHeight="1" x14ac:dyDescent="0.15">
      <c r="A8" s="229"/>
      <c r="B8" s="559" t="s">
        <v>4</v>
      </c>
      <c r="C8" s="356" t="s">
        <v>5</v>
      </c>
      <c r="D8" s="471">
        <f>D9+D10</f>
        <v>228818720</v>
      </c>
      <c r="E8" s="472">
        <f>SUM(E9:E10)</f>
        <v>0</v>
      </c>
      <c r="F8" s="473">
        <f t="shared" si="0"/>
        <v>228818720</v>
      </c>
      <c r="G8" s="460">
        <f>SUM(G9:G10)</f>
        <v>0</v>
      </c>
      <c r="H8" s="461">
        <f>SUM(H9:H10)</f>
        <v>0</v>
      </c>
      <c r="I8" s="462">
        <f>SUM(I9:I10)</f>
        <v>0</v>
      </c>
      <c r="J8" s="463">
        <f>J9+J10</f>
        <v>228818720</v>
      </c>
      <c r="K8" s="464">
        <f t="shared" si="2"/>
        <v>0</v>
      </c>
      <c r="L8" s="292">
        <f>SUM(L9:L10)</f>
        <v>0</v>
      </c>
      <c r="M8" s="291">
        <f t="shared" si="3"/>
        <v>0</v>
      </c>
      <c r="N8" s="362" t="s">
        <v>99</v>
      </c>
    </row>
    <row r="9" spans="1:15" ht="21.95" customHeight="1" x14ac:dyDescent="0.15">
      <c r="A9" s="229"/>
      <c r="B9" s="560"/>
      <c r="C9" s="357" t="s">
        <v>6</v>
      </c>
      <c r="D9" s="448">
        <v>93788375</v>
      </c>
      <c r="E9" s="474">
        <f>SUMIFS('5 공기업특별회계(세입)'!$K:$K,'5 공기업특별회계(세입)'!$B:$B,"상수도특별회계")</f>
        <v>0</v>
      </c>
      <c r="F9" s="475">
        <f>D9-E9</f>
        <v>93788375</v>
      </c>
      <c r="G9" s="476">
        <f>SUMIFS('6 공기업특별회계(세출)'!K:K,'6 공기업특별회계(세출)'!$B:$B,"상수도특별회계",'6 공기업특별회계(세출)'!K:K,"&lt;0")</f>
        <v>0</v>
      </c>
      <c r="H9" s="477">
        <f>SUMIFS('6 공기업특별회계(세출)'!$K:$K,'6 공기업특별회계(세출)'!$B:$B,"상수도특별회계",'6 공기업특별회계(세출)'!K:K,"&gt;0")</f>
        <v>0</v>
      </c>
      <c r="I9" s="478">
        <f t="shared" ref="I9:I22" si="4">-(G9+H9)</f>
        <v>0</v>
      </c>
      <c r="J9" s="479">
        <f>D9-G9-(H9+I9)</f>
        <v>93788375</v>
      </c>
      <c r="K9" s="465">
        <f t="shared" si="2"/>
        <v>0</v>
      </c>
      <c r="L9" s="248"/>
      <c r="M9" s="246">
        <f t="shared" si="3"/>
        <v>0</v>
      </c>
      <c r="N9" s="363" t="s">
        <v>92</v>
      </c>
    </row>
    <row r="10" spans="1:15" ht="21.95" customHeight="1" x14ac:dyDescent="0.15">
      <c r="A10" s="229"/>
      <c r="B10" s="560"/>
      <c r="C10" s="357" t="s">
        <v>7</v>
      </c>
      <c r="D10" s="448">
        <v>135030345</v>
      </c>
      <c r="E10" s="474">
        <f>SUMIFS('5 공기업특별회계(세입)'!$K:$K,'5 공기업특별회계(세입)'!$B:$B,"하수도특별회계")</f>
        <v>0</v>
      </c>
      <c r="F10" s="475">
        <f>D10-E10</f>
        <v>135030345</v>
      </c>
      <c r="G10" s="476">
        <f>SUMIFS('6 공기업특별회계(세출)'!K:K,'6 공기업특별회계(세출)'!$B:$B,"하수도특별회계",'6 공기업특별회계(세출)'!K:K,"&lt;0")</f>
        <v>0</v>
      </c>
      <c r="H10" s="477">
        <f>SUMIFS('6 공기업특별회계(세출)'!$K:$K,'6 공기업특별회계(세출)'!$B:$B,"하수도특별회계",'6 공기업특별회계(세출)'!K:K,"&gt;0")</f>
        <v>0</v>
      </c>
      <c r="I10" s="478">
        <f t="shared" si="4"/>
        <v>0</v>
      </c>
      <c r="J10" s="479">
        <f>D10-G10-(H10+I10)</f>
        <v>135030345</v>
      </c>
      <c r="K10" s="465">
        <f t="shared" si="2"/>
        <v>0</v>
      </c>
      <c r="L10" s="248"/>
      <c r="M10" s="246">
        <f t="shared" si="3"/>
        <v>0</v>
      </c>
      <c r="N10" s="362" t="s">
        <v>93</v>
      </c>
    </row>
    <row r="11" spans="1:15" ht="21.95" customHeight="1" x14ac:dyDescent="0.15">
      <c r="A11" s="229"/>
      <c r="B11" s="559" t="s">
        <v>8</v>
      </c>
      <c r="C11" s="356" t="s">
        <v>5</v>
      </c>
      <c r="D11" s="471">
        <f>SUM(D12:D22)</f>
        <v>255656880</v>
      </c>
      <c r="E11" s="472">
        <f>SUM(E12:E23)</f>
        <v>0</v>
      </c>
      <c r="F11" s="473">
        <f>D11-E11</f>
        <v>255656880</v>
      </c>
      <c r="G11" s="460">
        <f>SUM(G12:G22)</f>
        <v>0</v>
      </c>
      <c r="H11" s="461">
        <f>SUM(H12:H22)</f>
        <v>0</v>
      </c>
      <c r="I11" s="462">
        <f>SUM(I12:I22)</f>
        <v>0</v>
      </c>
      <c r="J11" s="463">
        <f>SUM(J12:J22)</f>
        <v>255656880</v>
      </c>
      <c r="K11" s="464">
        <f t="shared" si="2"/>
        <v>0</v>
      </c>
      <c r="L11" s="292">
        <f>SUM(L12:L22)</f>
        <v>0</v>
      </c>
      <c r="M11" s="291">
        <f t="shared" si="3"/>
        <v>0</v>
      </c>
      <c r="N11" s="362" t="s">
        <v>100</v>
      </c>
    </row>
    <row r="12" spans="1:15" ht="21.95" customHeight="1" x14ac:dyDescent="0.15">
      <c r="A12" s="229"/>
      <c r="B12" s="559"/>
      <c r="C12" s="357" t="s">
        <v>97</v>
      </c>
      <c r="D12" s="448">
        <v>88988273</v>
      </c>
      <c r="E12" s="474">
        <f>SUMIFS('3 기타특별회계(세입)'!$K:$K,'3 기타특별회계(세입)'!$B:$B,"공유재산관리특별회계")</f>
        <v>0</v>
      </c>
      <c r="F12" s="475">
        <f>D12-E12</f>
        <v>88988273</v>
      </c>
      <c r="G12" s="476">
        <f>SUMIFS('4 기타특별회계(세출)'!$K:$K,'4 기타특별회계(세출)'!$B:$B,"공유재산관리특별회계",'4 기타특별회계(세출)'!$K:$K,"&lt;0")</f>
        <v>0</v>
      </c>
      <c r="H12" s="477">
        <f>SUMIFS('4 기타특별회계(세출)'!$K:$K,'4 기타특별회계(세출)'!$B:$B,"공유재산관리특별회계",'4 기타특별회계(세출)'!$K:$K,"&gt;0")</f>
        <v>0</v>
      </c>
      <c r="I12" s="480">
        <f t="shared" si="4"/>
        <v>0</v>
      </c>
      <c r="J12" s="479">
        <f>D12-G12-(H12+I12)</f>
        <v>88988273</v>
      </c>
      <c r="K12" s="465">
        <f t="shared" si="2"/>
        <v>0</v>
      </c>
      <c r="L12" s="248">
        <v>0</v>
      </c>
      <c r="M12" s="246">
        <f t="shared" si="3"/>
        <v>0</v>
      </c>
      <c r="N12" s="362" t="s">
        <v>94</v>
      </c>
    </row>
    <row r="13" spans="1:15" ht="21.95" customHeight="1" x14ac:dyDescent="0.15">
      <c r="A13" s="229"/>
      <c r="B13" s="559"/>
      <c r="C13" s="357" t="s">
        <v>98</v>
      </c>
      <c r="D13" s="448">
        <v>11835686</v>
      </c>
      <c r="E13" s="474">
        <f>SUMIFS('3 기타특별회계(세입)'!$K:$K,'3 기타특별회계(세입)'!$B:$B,"의료급여기금특별회계")</f>
        <v>0</v>
      </c>
      <c r="F13" s="475">
        <f t="shared" ref="F13:F22" si="5">D13-E13</f>
        <v>11835686</v>
      </c>
      <c r="G13" s="476">
        <f>SUMIFS('4 기타특별회계(세출)'!$K:$K,'4 기타특별회계(세출)'!$B:$B,"의료급여기금특별회계",'4 기타특별회계(세출)'!$K:$K,"&lt;0")</f>
        <v>0</v>
      </c>
      <c r="H13" s="477">
        <f>SUMIFS('4 기타특별회계(세출)'!$K:$K,'4 기타특별회계(세출)'!$B:$B,"의료급여기금특별회계",'4 기타특별회계(세출)'!$K:$K,"&gt;0")</f>
        <v>0</v>
      </c>
      <c r="I13" s="480">
        <f t="shared" si="4"/>
        <v>0</v>
      </c>
      <c r="J13" s="479">
        <f t="shared" ref="J13:J22" si="6">D13-G13-(H13+I13)</f>
        <v>11835686</v>
      </c>
      <c r="K13" s="465">
        <f t="shared" si="2"/>
        <v>0</v>
      </c>
      <c r="L13" s="248">
        <v>0</v>
      </c>
      <c r="M13" s="246">
        <f t="shared" si="3"/>
        <v>0</v>
      </c>
      <c r="N13" s="362" t="s">
        <v>95</v>
      </c>
    </row>
    <row r="14" spans="1:15" ht="21.95" customHeight="1" x14ac:dyDescent="0.15">
      <c r="A14" s="229"/>
      <c r="B14" s="559"/>
      <c r="C14" s="357" t="s">
        <v>91</v>
      </c>
      <c r="D14" s="448">
        <v>42826127</v>
      </c>
      <c r="E14" s="474">
        <f>SUMIFS('3 기타특별회계(세입)'!$K:$K,'3 기타특별회계(세입)'!$B:$B,"교통사업특별회계")</f>
        <v>0</v>
      </c>
      <c r="F14" s="475">
        <f t="shared" si="5"/>
        <v>42826127</v>
      </c>
      <c r="G14" s="476">
        <f>SUMIFS('4 기타특별회계(세출)'!$K:$K,'4 기타특별회계(세출)'!$B:$B,"교통사업특별회계",'4 기타특별회계(세출)'!$K:$K,"&lt;0")</f>
        <v>0</v>
      </c>
      <c r="H14" s="477">
        <f>SUMIFS('4 기타특별회계(세출)'!$K:$K,'4 기타특별회계(세출)'!$B:$B,"교통사업특별회계",'4 기타특별회계(세출)'!$K:$K,"&gt;0")</f>
        <v>0</v>
      </c>
      <c r="I14" s="480">
        <f t="shared" si="4"/>
        <v>0</v>
      </c>
      <c r="J14" s="479">
        <f t="shared" si="6"/>
        <v>42826127</v>
      </c>
      <c r="K14" s="465">
        <f t="shared" si="2"/>
        <v>0</v>
      </c>
      <c r="L14" s="248">
        <v>0</v>
      </c>
      <c r="M14" s="246">
        <f t="shared" si="3"/>
        <v>0</v>
      </c>
      <c r="N14" s="362" t="s">
        <v>96</v>
      </c>
    </row>
    <row r="15" spans="1:15" ht="21.95" customHeight="1" x14ac:dyDescent="0.15">
      <c r="A15" s="229"/>
      <c r="B15" s="559"/>
      <c r="C15" s="357" t="s">
        <v>99</v>
      </c>
      <c r="D15" s="448">
        <v>59282494</v>
      </c>
      <c r="E15" s="474">
        <f>SUMIFS('3 기타특별회계(세입)'!$K:$K,'3 기타특별회계(세입)'!$B:$B,"철도건설사업특별회계")</f>
        <v>0</v>
      </c>
      <c r="F15" s="475">
        <f t="shared" si="5"/>
        <v>59282494</v>
      </c>
      <c r="G15" s="476">
        <f>SUMIFS('4 기타특별회계(세출)'!$K:$K,'4 기타특별회계(세출)'!$B:$B,"철도건설사업특별회계",'4 기타특별회계(세출)'!$K:$K,"&lt;0")</f>
        <v>0</v>
      </c>
      <c r="H15" s="477">
        <f>SUMIFS('4 기타특별회계(세출)'!$K:$K,'4 기타특별회계(세출)'!$B:$B,"철도건설사업특별회계",'4 기타특별회계(세출)'!$K:$K,"0&gt;")</f>
        <v>0</v>
      </c>
      <c r="I15" s="480">
        <f t="shared" si="4"/>
        <v>0</v>
      </c>
      <c r="J15" s="479">
        <f t="shared" si="6"/>
        <v>59282494</v>
      </c>
      <c r="K15" s="465">
        <f t="shared" si="2"/>
        <v>0</v>
      </c>
      <c r="L15" s="248">
        <v>0</v>
      </c>
      <c r="M15" s="246">
        <f t="shared" si="3"/>
        <v>0</v>
      </c>
      <c r="N15" s="359" t="s">
        <v>230</v>
      </c>
    </row>
    <row r="16" spans="1:15" s="8" customFormat="1" ht="21.95" customHeight="1" x14ac:dyDescent="0.15">
      <c r="A16" s="230"/>
      <c r="B16" s="559"/>
      <c r="C16" s="358" t="s">
        <v>92</v>
      </c>
      <c r="D16" s="448">
        <v>4021257</v>
      </c>
      <c r="E16" s="474">
        <f>SUMIFS('3 기타특별회계(세입)'!$K:$K,'3 기타특별회계(세입)'!$B:$B,"폐기물처리시설특별회계")</f>
        <v>0</v>
      </c>
      <c r="F16" s="475">
        <f t="shared" si="5"/>
        <v>4021257</v>
      </c>
      <c r="G16" s="476">
        <f>SUMIFS('4 기타특별회계(세출)'!$K:$K,'4 기타특별회계(세출)'!$B:$B,"폐기물처리시설특별회계",'4 기타특별회계(세출)'!$K:$K,"&lt;0")</f>
        <v>0</v>
      </c>
      <c r="H16" s="477">
        <f>SUMIFS('4 기타특별회계(세출)'!$K:$K,'4 기타특별회계(세출)'!$B:$B,"폐기물처리시설특별회계",'4 기타특별회계(세출)'!$K:$K,"0&gt;")</f>
        <v>0</v>
      </c>
      <c r="I16" s="480">
        <f t="shared" si="4"/>
        <v>0</v>
      </c>
      <c r="J16" s="479">
        <f t="shared" si="6"/>
        <v>4021257</v>
      </c>
      <c r="K16" s="465">
        <f t="shared" si="2"/>
        <v>0</v>
      </c>
      <c r="L16" s="248">
        <v>0</v>
      </c>
      <c r="M16" s="246">
        <f t="shared" si="3"/>
        <v>0</v>
      </c>
    </row>
    <row r="17" spans="1:13" ht="21.95" customHeight="1" x14ac:dyDescent="0.15">
      <c r="A17" s="229"/>
      <c r="B17" s="559"/>
      <c r="C17" s="357" t="s">
        <v>93</v>
      </c>
      <c r="D17" s="448">
        <v>11367302</v>
      </c>
      <c r="E17" s="474">
        <f>SUMIFS('3 기타특별회계(세입)'!$K:$K,'3 기타특별회계(세입)'!$B:$B,"도시개발특별회계")</f>
        <v>0</v>
      </c>
      <c r="F17" s="475">
        <f t="shared" si="5"/>
        <v>11367302</v>
      </c>
      <c r="G17" s="476">
        <f>SUMIFS('4 기타특별회계(세출)'!$K:$K,'4 기타특별회계(세출)'!$B:$B,"도시개발특별회계",'4 기타특별회계(세출)'!$K:$K,"&lt;0")</f>
        <v>0</v>
      </c>
      <c r="H17" s="477">
        <f>SUMIFS('4 기타특별회계(세출)'!$K:$K,'4 기타특별회계(세출)'!$B:$B,"도시개발특별회계",'4 기타특별회계(세출)'!$K:$K,"&gt;0")</f>
        <v>0</v>
      </c>
      <c r="I17" s="480">
        <f t="shared" si="4"/>
        <v>0</v>
      </c>
      <c r="J17" s="479">
        <f t="shared" si="6"/>
        <v>11367302</v>
      </c>
      <c r="K17" s="465">
        <f t="shared" si="2"/>
        <v>0</v>
      </c>
      <c r="L17" s="248">
        <v>0</v>
      </c>
      <c r="M17" s="246">
        <f t="shared" si="3"/>
        <v>0</v>
      </c>
    </row>
    <row r="18" spans="1:13" ht="21.95" customHeight="1" x14ac:dyDescent="0.15">
      <c r="A18" s="229"/>
      <c r="B18" s="559"/>
      <c r="C18" s="357" t="s">
        <v>231</v>
      </c>
      <c r="D18" s="448">
        <v>36372</v>
      </c>
      <c r="E18" s="474">
        <f>SUMIFS('3 기타특별회계(세입)'!$K:$K,'3 기타특별회계(세입)'!$B:$B,"공공시설등설치특별회계")</f>
        <v>0</v>
      </c>
      <c r="F18" s="475">
        <f t="shared" si="5"/>
        <v>36372</v>
      </c>
      <c r="G18" s="476">
        <f>SUMIFS('4 기타특별회계(세출)'!$K:$K,'4 기타특별회계(세출)'!$B:$B,"공공시설등설치특별회계",'4 기타특별회계(세출)'!$K:$K,"&lt;0")</f>
        <v>0</v>
      </c>
      <c r="H18" s="477">
        <f>SUMIFS('4 기타특별회계(세출)'!$K:$K,'4 기타특별회계(세출)'!$B:$B,"공공시설등설치특별회계",'4 기타특별회계(세출)'!$K:$K,"&gt;0")</f>
        <v>0</v>
      </c>
      <c r="I18" s="480">
        <f t="shared" si="4"/>
        <v>0</v>
      </c>
      <c r="J18" s="479">
        <f t="shared" si="6"/>
        <v>36372</v>
      </c>
      <c r="K18" s="465">
        <f t="shared" si="2"/>
        <v>0</v>
      </c>
      <c r="L18" s="248">
        <v>0</v>
      </c>
      <c r="M18" s="246">
        <f t="shared" si="3"/>
        <v>0</v>
      </c>
    </row>
    <row r="19" spans="1:13" ht="21.95" customHeight="1" x14ac:dyDescent="0.15">
      <c r="A19" s="229"/>
      <c r="B19" s="559"/>
      <c r="C19" s="357" t="s">
        <v>94</v>
      </c>
      <c r="D19" s="448">
        <v>14930</v>
      </c>
      <c r="E19" s="474">
        <f>SUMIFS('3 기타특별회계(세입)'!$K:$K,'3 기타특별회계(세입)'!$B:$B,"문화시설건립특별회계")</f>
        <v>0</v>
      </c>
      <c r="F19" s="475">
        <f t="shared" si="5"/>
        <v>14930</v>
      </c>
      <c r="G19" s="476">
        <v>0</v>
      </c>
      <c r="H19" s="477">
        <v>0</v>
      </c>
      <c r="I19" s="480">
        <f t="shared" si="4"/>
        <v>0</v>
      </c>
      <c r="J19" s="479">
        <f t="shared" si="6"/>
        <v>14930</v>
      </c>
      <c r="K19" s="465">
        <f t="shared" si="2"/>
        <v>0</v>
      </c>
      <c r="L19" s="248">
        <v>0</v>
      </c>
      <c r="M19" s="246">
        <f t="shared" si="3"/>
        <v>0</v>
      </c>
    </row>
    <row r="20" spans="1:13" ht="21.95" customHeight="1" x14ac:dyDescent="0.15">
      <c r="A20" s="229"/>
      <c r="B20" s="559"/>
      <c r="C20" s="357" t="s">
        <v>95</v>
      </c>
      <c r="D20" s="448">
        <v>28264986</v>
      </c>
      <c r="E20" s="474">
        <f>SUMIFS('3 기타특별회계(세입)'!$K:$K,'3 기타특별회계(세입)'!$B:$B,"도시재생특별회계")</f>
        <v>0</v>
      </c>
      <c r="F20" s="475">
        <f t="shared" si="5"/>
        <v>28264986</v>
      </c>
      <c r="G20" s="476">
        <f>SUMIFS('4 기타특별회계(세출)'!$K:$K,'4 기타특별회계(세출)'!$B:$B,"도시재생특별회계",'4 기타특별회계(세출)'!$K:$K,"&lt;0")</f>
        <v>0</v>
      </c>
      <c r="H20" s="477">
        <f>SUMIFS('4 기타특별회계(세출)'!$K:$K,'4 기타특별회계(세출)'!$B:$B,"도시재생특별회계",'4 기타특별회계(세출)'!$K:$K,"&gt;0")</f>
        <v>0</v>
      </c>
      <c r="I20" s="480">
        <f t="shared" si="4"/>
        <v>0</v>
      </c>
      <c r="J20" s="479">
        <f t="shared" si="6"/>
        <v>28264986</v>
      </c>
      <c r="K20" s="465">
        <f t="shared" si="2"/>
        <v>0</v>
      </c>
      <c r="L20" s="248">
        <v>0</v>
      </c>
      <c r="M20" s="246">
        <f t="shared" si="3"/>
        <v>0</v>
      </c>
    </row>
    <row r="21" spans="1:13" ht="21.95" customHeight="1" x14ac:dyDescent="0.15">
      <c r="A21" s="229"/>
      <c r="B21" s="559"/>
      <c r="C21" s="357" t="s">
        <v>96</v>
      </c>
      <c r="D21" s="448">
        <v>9018652</v>
      </c>
      <c r="E21" s="474">
        <f>SUMIFS('3 기타특별회계(세입)'!$K:$K,'3 기타특별회계(세입)'!$B:$B,"성골지구도시개발특별회계")</f>
        <v>0</v>
      </c>
      <c r="F21" s="475">
        <f t="shared" si="5"/>
        <v>9018652</v>
      </c>
      <c r="G21" s="476">
        <f>SUMIFS('4 기타특별회계(세출)'!$K:$K,'4 기타특별회계(세출)'!$B:$B,"성골지구개발특별회계",'4 기타특별회계(세출)'!$K:$K,"&lt;0")</f>
        <v>0</v>
      </c>
      <c r="H21" s="477">
        <f>SUMIFS('4 기타특별회계(세출)'!$K:$K,'4 기타특별회계(세출)'!$B:$B,"성골지구개발특별회계",'4 기타특별회계(세출)'!$K:$K,"&gt;0")</f>
        <v>0</v>
      </c>
      <c r="I21" s="480">
        <f t="shared" si="4"/>
        <v>0</v>
      </c>
      <c r="J21" s="479">
        <f t="shared" si="6"/>
        <v>9018652</v>
      </c>
      <c r="K21" s="465">
        <f t="shared" si="2"/>
        <v>0</v>
      </c>
      <c r="L21" s="248">
        <v>0</v>
      </c>
      <c r="M21" s="246">
        <f t="shared" si="3"/>
        <v>0</v>
      </c>
    </row>
    <row r="22" spans="1:13" ht="21.95" customHeight="1" thickBot="1" x14ac:dyDescent="0.2">
      <c r="A22" s="231"/>
      <c r="B22" s="559"/>
      <c r="C22" s="359" t="s">
        <v>230</v>
      </c>
      <c r="D22" s="448">
        <v>801</v>
      </c>
      <c r="E22" s="474">
        <f>SUMIFS('3 기타특별회계(세입)'!$K:$K,'3 기타특별회계(세입)'!$B:$B,"발전소주변지역지원특별회계")</f>
        <v>0</v>
      </c>
      <c r="F22" s="475">
        <f t="shared" si="5"/>
        <v>801</v>
      </c>
      <c r="G22" s="481">
        <f>SUMIFS('4 기타특별회계(세출)'!$K:$K,'4 기타특별회계(세출)'!$B:$B,"발전소주변지역지원사업특별회계",'4 기타특별회계(세출)'!$K:$K,"&lt;0")</f>
        <v>0</v>
      </c>
      <c r="H22" s="477">
        <f>SUMIFS('4 기타특별회계(세출)'!$K:$K,'4 기타특별회계(세출)'!$B:$B,"발전소주변지역지원사업특별회계",'4 기타특별회계(세출)'!$K:$K,"&gt;0")</f>
        <v>0</v>
      </c>
      <c r="I22" s="480">
        <f t="shared" si="4"/>
        <v>0</v>
      </c>
      <c r="J22" s="479">
        <f t="shared" si="6"/>
        <v>801</v>
      </c>
      <c r="K22" s="465">
        <f t="shared" si="2"/>
        <v>0</v>
      </c>
      <c r="L22" s="248">
        <v>0</v>
      </c>
      <c r="M22" s="246">
        <f t="shared" si="3"/>
        <v>0</v>
      </c>
    </row>
    <row r="23" spans="1:13" x14ac:dyDescent="0.15">
      <c r="K23" s="371"/>
    </row>
  </sheetData>
  <mergeCells count="17">
    <mergeCell ref="N3:N4"/>
    <mergeCell ref="L3:L4"/>
    <mergeCell ref="M3:M4"/>
    <mergeCell ref="D3:D4"/>
    <mergeCell ref="A1:K1"/>
    <mergeCell ref="K3:K4"/>
    <mergeCell ref="B3:C4"/>
    <mergeCell ref="E3:E4"/>
    <mergeCell ref="F3:F4"/>
    <mergeCell ref="H2:K2"/>
    <mergeCell ref="G3:I3"/>
    <mergeCell ref="J3:J4"/>
    <mergeCell ref="B11:B22"/>
    <mergeCell ref="B8:B10"/>
    <mergeCell ref="B5:C5"/>
    <mergeCell ref="B6:C6"/>
    <mergeCell ref="B7:C7"/>
  </mergeCells>
  <phoneticPr fontId="10" type="noConversion"/>
  <pageMargins left="0.59055118110236227" right="0.59055118110236227" top="0.94488188976377963" bottom="0.59055118110236227" header="0" footer="0"/>
  <pageSetup paperSize="9" scale="96" fitToHeight="50" orientation="landscape" useFirstPageNumber="1" r:id="rId1"/>
  <headerFooter alignWithMargins="0">
    <oddHeader>&amp;L제287회 제2차 정례회 예산결산특별위원회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7030A0"/>
    <pageSetUpPr fitToPage="1"/>
  </sheetPr>
  <dimension ref="A1:M59"/>
  <sheetViews>
    <sheetView view="pageBreakPreview" zoomScale="90" zoomScaleNormal="106" zoomScaleSheetLayoutView="90" workbookViewId="0">
      <selection activeCell="C19" sqref="C19"/>
    </sheetView>
  </sheetViews>
  <sheetFormatPr defaultRowHeight="13.5" x14ac:dyDescent="0.15"/>
  <cols>
    <col min="1" max="1" width="16.88671875" style="3" customWidth="1"/>
    <col min="2" max="2" width="18.88671875" style="3" customWidth="1"/>
    <col min="3" max="3" width="19.77734375" style="4" customWidth="1"/>
    <col min="4" max="4" width="14.6640625" style="4" customWidth="1"/>
    <col min="5" max="5" width="18.21875" style="4" customWidth="1"/>
    <col min="6" max="6" width="20.21875" style="4" customWidth="1"/>
    <col min="7" max="7" width="12.88671875" style="4" customWidth="1"/>
    <col min="8" max="8" width="11.33203125" style="4" customWidth="1"/>
    <col min="9" max="9" width="14.88671875" style="4" customWidth="1"/>
    <col min="10" max="10" width="19.5546875" style="3" bestFit="1" customWidth="1"/>
    <col min="11" max="11" width="18.21875" style="258" customWidth="1"/>
    <col min="12" max="12" width="8.88671875" style="3"/>
    <col min="13" max="13" width="13.5546875" style="258" customWidth="1"/>
    <col min="14" max="16384" width="8.88671875" style="3"/>
  </cols>
  <sheetData>
    <row r="1" spans="1:13" s="208" customFormat="1" ht="50.25" customHeight="1" x14ac:dyDescent="0.15">
      <c r="A1" s="587" t="s">
        <v>236</v>
      </c>
      <c r="B1" s="587"/>
      <c r="C1" s="587"/>
      <c r="D1" s="587"/>
      <c r="E1" s="587"/>
      <c r="F1" s="587"/>
      <c r="G1" s="587"/>
      <c r="H1" s="587"/>
      <c r="I1" s="587"/>
      <c r="J1" s="587"/>
      <c r="K1" s="257"/>
      <c r="M1" s="257"/>
    </row>
    <row r="2" spans="1:13" ht="39" customHeight="1" thickBot="1" x14ac:dyDescent="0.2">
      <c r="F2" s="237"/>
      <c r="J2" s="234" t="s">
        <v>9</v>
      </c>
    </row>
    <row r="3" spans="1:13" ht="24.95" customHeight="1" x14ac:dyDescent="0.15">
      <c r="A3" s="588" t="s">
        <v>39</v>
      </c>
      <c r="B3" s="590" t="s">
        <v>10</v>
      </c>
      <c r="C3" s="584" t="s">
        <v>224</v>
      </c>
      <c r="D3" s="577" t="s">
        <v>173</v>
      </c>
      <c r="E3" s="594" t="s">
        <v>88</v>
      </c>
      <c r="F3" s="584" t="s">
        <v>225</v>
      </c>
      <c r="G3" s="579" t="s">
        <v>89</v>
      </c>
      <c r="H3" s="579"/>
      <c r="I3" s="580"/>
      <c r="J3" s="592" t="s">
        <v>170</v>
      </c>
    </row>
    <row r="4" spans="1:13" ht="34.5" customHeight="1" x14ac:dyDescent="0.15">
      <c r="A4" s="589"/>
      <c r="B4" s="591"/>
      <c r="C4" s="585"/>
      <c r="D4" s="578"/>
      <c r="E4" s="595"/>
      <c r="F4" s="585"/>
      <c r="G4" s="232" t="s">
        <v>86</v>
      </c>
      <c r="H4" s="232" t="s">
        <v>87</v>
      </c>
      <c r="I4" s="232" t="s">
        <v>169</v>
      </c>
      <c r="J4" s="593"/>
      <c r="K4" s="289" t="s">
        <v>187</v>
      </c>
      <c r="M4" s="289" t="s">
        <v>188</v>
      </c>
    </row>
    <row r="5" spans="1:13" ht="30" customHeight="1" x14ac:dyDescent="0.15">
      <c r="A5" s="576" t="s">
        <v>11</v>
      </c>
      <c r="B5" s="238" t="s">
        <v>19</v>
      </c>
      <c r="C5" s="389">
        <f>C6+C7+C8</f>
        <v>2514504248</v>
      </c>
      <c r="D5" s="389">
        <f>D6+D7+D8</f>
        <v>0</v>
      </c>
      <c r="E5" s="390">
        <f t="shared" ref="E5:E12" si="0">C5-D5</f>
        <v>2514504248</v>
      </c>
      <c r="F5" s="390">
        <f>F6+F7+F8</f>
        <v>2514504248</v>
      </c>
      <c r="G5" s="391">
        <f>SUM(G6:G8)</f>
        <v>0</v>
      </c>
      <c r="H5" s="392">
        <f t="shared" ref="H5:I5" si="1">SUM(H6:H8)</f>
        <v>0</v>
      </c>
      <c r="I5" s="392">
        <f t="shared" si="1"/>
        <v>0</v>
      </c>
      <c r="J5" s="393">
        <f>SUM(J6:J8)</f>
        <v>2514504248</v>
      </c>
      <c r="K5" s="258" t="str">
        <f>IF(E5=J5,"O","X")</f>
        <v>O</v>
      </c>
      <c r="M5" s="258" t="str">
        <f>IF(G5=-(H5+I5),"O","X")</f>
        <v>O</v>
      </c>
    </row>
    <row r="6" spans="1:13" ht="30" customHeight="1" x14ac:dyDescent="0.15">
      <c r="A6" s="576"/>
      <c r="B6" s="189" t="s">
        <v>57</v>
      </c>
      <c r="C6" s="394">
        <f>C11+C14+C17+C9</f>
        <v>2138547086</v>
      </c>
      <c r="D6" s="394">
        <f>D9+D11+D14+D17</f>
        <v>0</v>
      </c>
      <c r="E6" s="395">
        <f t="shared" si="0"/>
        <v>2138547086</v>
      </c>
      <c r="F6" s="395">
        <f>F11+F14+F17+F9</f>
        <v>2138547086</v>
      </c>
      <c r="G6" s="396">
        <f>SUM(G9,G11,G14,G17)</f>
        <v>0</v>
      </c>
      <c r="H6" s="392">
        <f>SUM(H9,H11,H14,H17)</f>
        <v>0</v>
      </c>
      <c r="I6" s="392">
        <f>SUM(I9,I11,I14,I17)</f>
        <v>0</v>
      </c>
      <c r="J6" s="397">
        <f>J11+J14+J17+J9</f>
        <v>2138547086</v>
      </c>
      <c r="K6" s="258" t="str">
        <f t="shared" ref="K6:K19" si="2">IF(E6=J6,"O","X")</f>
        <v>O</v>
      </c>
      <c r="M6" s="258" t="str">
        <f t="shared" ref="M6:M19" si="3">IF(G6=-(H6+I6),"O","X")</f>
        <v>O</v>
      </c>
    </row>
    <row r="7" spans="1:13" ht="30" customHeight="1" x14ac:dyDescent="0.15">
      <c r="A7" s="576"/>
      <c r="B7" s="189" t="s">
        <v>23</v>
      </c>
      <c r="C7" s="394">
        <f>C18</f>
        <v>209104133</v>
      </c>
      <c r="D7" s="394">
        <f>D18</f>
        <v>0</v>
      </c>
      <c r="E7" s="395">
        <f t="shared" si="0"/>
        <v>209104133</v>
      </c>
      <c r="F7" s="395">
        <f>F18</f>
        <v>209104133</v>
      </c>
      <c r="G7" s="396">
        <f>SUM(G18)</f>
        <v>0</v>
      </c>
      <c r="H7" s="392">
        <f>SUM(H18)</f>
        <v>0</v>
      </c>
      <c r="I7" s="392">
        <f>SUM(I18)</f>
        <v>0</v>
      </c>
      <c r="J7" s="397">
        <f>J18</f>
        <v>209104133</v>
      </c>
      <c r="K7" s="258" t="str">
        <f t="shared" si="2"/>
        <v>O</v>
      </c>
      <c r="M7" s="258" t="str">
        <f t="shared" si="3"/>
        <v>O</v>
      </c>
    </row>
    <row r="8" spans="1:13" ht="30" customHeight="1" x14ac:dyDescent="0.15">
      <c r="A8" s="576"/>
      <c r="B8" s="190" t="s">
        <v>58</v>
      </c>
      <c r="C8" s="398">
        <f>C12+C15+C19</f>
        <v>166853029</v>
      </c>
      <c r="D8" s="398">
        <f>D12+D15+D19</f>
        <v>0</v>
      </c>
      <c r="E8" s="399">
        <f t="shared" si="0"/>
        <v>166853029</v>
      </c>
      <c r="F8" s="399">
        <f>F12+F15+F19</f>
        <v>166853029</v>
      </c>
      <c r="G8" s="400">
        <f>SUM(G12,G15,G19)</f>
        <v>0</v>
      </c>
      <c r="H8" s="392">
        <f>SUM(H12,H15,H19)</f>
        <v>0</v>
      </c>
      <c r="I8" s="392">
        <f>SUM(I12,I15,I19)</f>
        <v>0</v>
      </c>
      <c r="J8" s="397">
        <f>J12+J15+J19</f>
        <v>166853029</v>
      </c>
      <c r="K8" s="258" t="str">
        <f t="shared" si="2"/>
        <v>O</v>
      </c>
      <c r="M8" s="258" t="str">
        <f t="shared" si="3"/>
        <v>O</v>
      </c>
    </row>
    <row r="9" spans="1:13" ht="30" customHeight="1" x14ac:dyDescent="0.15">
      <c r="A9" s="235" t="s">
        <v>35</v>
      </c>
      <c r="B9" s="233" t="s">
        <v>59</v>
      </c>
      <c r="C9" s="401">
        <v>3442627</v>
      </c>
      <c r="D9" s="401">
        <f>SUMIFS('1 일반회계(세입)'!$H:$H, '1 일반회계(세입)'!$A:$A,"의회운영위원회")</f>
        <v>0</v>
      </c>
      <c r="E9" s="402">
        <f t="shared" si="0"/>
        <v>3442627</v>
      </c>
      <c r="F9" s="401">
        <f>C9</f>
        <v>3442627</v>
      </c>
      <c r="G9" s="403">
        <f>SUMIFS('2 일반회계(세출)'!$K:$K, '2 일반회계(세출)'!$A:$A,"의회운영위원회", '2 일반회계(세출)'!$B:$B, "일반회계",'2 일반회계(세출)'!$K:$K,"&lt;0")</f>
        <v>0</v>
      </c>
      <c r="H9" s="404">
        <f>SUMIFS('2 일반회계(세출)'!$K:$K, '2 일반회계(세출)'!$A:$A,"의회운영위원회", '2 일반회계(세출)'!$B:$B, "일반회계",'2 일반회계(세출)'!$K:$K,"&gt;0")</f>
        <v>0</v>
      </c>
      <c r="I9" s="404">
        <f>-(G9+H9)</f>
        <v>0</v>
      </c>
      <c r="J9" s="405">
        <f>F9+G9-I9</f>
        <v>3442627</v>
      </c>
      <c r="K9" s="258" t="str">
        <f t="shared" si="2"/>
        <v>O</v>
      </c>
      <c r="M9" s="258" t="str">
        <f t="shared" si="3"/>
        <v>O</v>
      </c>
    </row>
    <row r="10" spans="1:13" ht="30" customHeight="1" x14ac:dyDescent="0.15">
      <c r="A10" s="581" t="s">
        <v>36</v>
      </c>
      <c r="B10" s="191" t="s">
        <v>61</v>
      </c>
      <c r="C10" s="406">
        <f>C11+C12</f>
        <v>540513604</v>
      </c>
      <c r="D10" s="406">
        <f>SUM(D11:D12)</f>
        <v>0</v>
      </c>
      <c r="E10" s="407">
        <f t="shared" si="0"/>
        <v>540513604</v>
      </c>
      <c r="F10" s="407">
        <f>F11+F12</f>
        <v>540513604</v>
      </c>
      <c r="G10" s="408">
        <f>G11+G12</f>
        <v>0</v>
      </c>
      <c r="H10" s="409">
        <f>H11+H12</f>
        <v>0</v>
      </c>
      <c r="I10" s="409">
        <f>I11+I12</f>
        <v>0</v>
      </c>
      <c r="J10" s="410">
        <f>SUM(J11:J12)</f>
        <v>540513604</v>
      </c>
      <c r="K10" s="258" t="str">
        <f t="shared" si="2"/>
        <v>O</v>
      </c>
      <c r="M10" s="258" t="str">
        <f t="shared" si="3"/>
        <v>O</v>
      </c>
    </row>
    <row r="11" spans="1:13" ht="30" customHeight="1" x14ac:dyDescent="0.15">
      <c r="A11" s="582"/>
      <c r="B11" s="187" t="s">
        <v>59</v>
      </c>
      <c r="C11" s="411">
        <v>527224489</v>
      </c>
      <c r="D11" s="411">
        <f>SUMIFS('1 일반회계(세입)'!$H:$H, '1 일반회계(세입)'!$A:$A,"재정문화위원회")</f>
        <v>0</v>
      </c>
      <c r="E11" s="412">
        <f t="shared" si="0"/>
        <v>527224489</v>
      </c>
      <c r="F11" s="411">
        <f>C11</f>
        <v>527224489</v>
      </c>
      <c r="G11" s="413">
        <f>SUMIFS('2 일반회계(세출)'!$K:$K, '2 일반회계(세출)'!$A:$A,"재정문화위원회", '2 일반회계(세출)'!$B:$B, "일반회계",'2 일반회계(세출)'!$K:$K,"&lt;0")</f>
        <v>0</v>
      </c>
      <c r="H11" s="414">
        <f>SUMIFS('2 일반회계(세출)'!$K:$K, '2 일반회계(세출)'!$A:$A,"재정문화위원회", '2 일반회계(세출)'!$B:$B, "일반회계",'2 일반회계(세출)'!$K:$K,"&gt;0")</f>
        <v>0</v>
      </c>
      <c r="I11" s="415">
        <f>-(G11+H11)</f>
        <v>0</v>
      </c>
      <c r="J11" s="416">
        <f>F11+G11+H11+I11</f>
        <v>527224489</v>
      </c>
      <c r="K11" s="258" t="str">
        <f t="shared" si="2"/>
        <v>O</v>
      </c>
      <c r="M11" s="258" t="str">
        <f t="shared" si="3"/>
        <v>O</v>
      </c>
    </row>
    <row r="12" spans="1:13" ht="30" customHeight="1" x14ac:dyDescent="0.15">
      <c r="A12" s="586"/>
      <c r="B12" s="187" t="s">
        <v>58</v>
      </c>
      <c r="C12" s="411">
        <v>13289115</v>
      </c>
      <c r="D12" s="411">
        <f>SUMIFS('3 기타특별회계(세입)'!$H:$H, '3 기타특별회계(세입)'!$A:$A,"재정문화위원회", '3 기타특별회계(세입)'!$B:$B, "**특별회계")</f>
        <v>0</v>
      </c>
      <c r="E12" s="412">
        <f t="shared" si="0"/>
        <v>13289115</v>
      </c>
      <c r="F12" s="411">
        <f>C12</f>
        <v>13289115</v>
      </c>
      <c r="G12" s="413">
        <f>SUMIFS('4 기타특별회계(세출)'!$K:$K, '4 기타특별회계(세출)'!$A:$A, "재정문화위원회",   '4 기타특별회계(세출)'!$B:$B, "*특별회계",  '4 기타특별회계(세출)'!$K:$K,"&lt;0")</f>
        <v>0</v>
      </c>
      <c r="H12" s="414">
        <f>SUMIFS('4 기타특별회계(세출)'!$K:$K, '4 기타특별회계(세출)'!$A:$A, "재정문화위원회",  '4 기타특별회계(세출)'!$B:$B, "*특별회계",  '4 기타특별회계(세출)'!$K:$K,"&gt;0")</f>
        <v>0</v>
      </c>
      <c r="I12" s="415">
        <f>-(G12+H12)</f>
        <v>0</v>
      </c>
      <c r="J12" s="416">
        <f>F12+G12+H12+I12</f>
        <v>13289115</v>
      </c>
      <c r="K12" s="258" t="str">
        <f t="shared" si="2"/>
        <v>O</v>
      </c>
      <c r="M12" s="258" t="str">
        <f t="shared" si="3"/>
        <v>O</v>
      </c>
    </row>
    <row r="13" spans="1:13" ht="30" customHeight="1" x14ac:dyDescent="0.15">
      <c r="A13" s="581" t="s">
        <v>37</v>
      </c>
      <c r="B13" s="191" t="s">
        <v>61</v>
      </c>
      <c r="C13" s="406">
        <f>C14+C15</f>
        <v>1298530376</v>
      </c>
      <c r="D13" s="406">
        <f>SUM(D14:D15)</f>
        <v>0</v>
      </c>
      <c r="E13" s="407">
        <f>E14+E15</f>
        <v>1298530376</v>
      </c>
      <c r="F13" s="407">
        <f>F14+F15</f>
        <v>1298530376</v>
      </c>
      <c r="G13" s="408">
        <f>G14+G15</f>
        <v>0</v>
      </c>
      <c r="H13" s="409">
        <f>H14+H15</f>
        <v>0</v>
      </c>
      <c r="I13" s="409">
        <f>I14+I15</f>
        <v>0</v>
      </c>
      <c r="J13" s="410">
        <f>SUM(J14:J15)</f>
        <v>1298530376</v>
      </c>
      <c r="K13" s="258" t="str">
        <f t="shared" si="2"/>
        <v>O</v>
      </c>
      <c r="M13" s="258" t="str">
        <f t="shared" si="3"/>
        <v>O</v>
      </c>
    </row>
    <row r="14" spans="1:13" ht="30" customHeight="1" x14ac:dyDescent="0.15">
      <c r="A14" s="582"/>
      <c r="B14" s="187" t="s">
        <v>59</v>
      </c>
      <c r="C14" s="411">
        <v>1285980005</v>
      </c>
      <c r="D14" s="411">
        <f>SUMIFS('1 일반회계(세입)'!$H:$H, '1 일반회계(세입)'!$A:$A,"행정복지위원회")</f>
        <v>0</v>
      </c>
      <c r="E14" s="412">
        <f>C14-D14</f>
        <v>1285980005</v>
      </c>
      <c r="F14" s="411">
        <f>C14</f>
        <v>1285980005</v>
      </c>
      <c r="G14" s="413">
        <f>SUMIFS('2 일반회계(세출)'!$K:$K, '2 일반회계(세출)'!$A:$A,"행정복지위원회", '2 일반회계(세출)'!$B:$B, "일반회계",'2 일반회계(세출)'!$K:$K,"&lt;0")</f>
        <v>0</v>
      </c>
      <c r="H14" s="414">
        <f>SUMIFS('2 일반회계(세출)'!$K:$K, '2 일반회계(세출)'!$A:$A,"행정복지위원회", '2 일반회계(세출)'!$B:$B, "일반회계",'2 일반회계(세출)'!$K:$K,"&gt;0")</f>
        <v>0</v>
      </c>
      <c r="I14" s="415">
        <f>-(G14+H14)</f>
        <v>0</v>
      </c>
      <c r="J14" s="416">
        <f>F14+G14+H14+I14</f>
        <v>1285980005</v>
      </c>
      <c r="K14" s="258" t="str">
        <f t="shared" si="2"/>
        <v>O</v>
      </c>
      <c r="M14" s="258" t="str">
        <f t="shared" si="3"/>
        <v>O</v>
      </c>
    </row>
    <row r="15" spans="1:13" ht="30" customHeight="1" x14ac:dyDescent="0.15">
      <c r="A15" s="582"/>
      <c r="B15" s="187" t="s">
        <v>58</v>
      </c>
      <c r="C15" s="411">
        <v>12550371</v>
      </c>
      <c r="D15" s="411">
        <f>SUMIFS('3 기타특별회계(세입)'!$H:$H, '3 기타특별회계(세입)'!$A:$A,"행정복지위원회", '3 기타특별회계(세입)'!$B:$B, "**특별회계")</f>
        <v>0</v>
      </c>
      <c r="E15" s="412">
        <f>C15-D15</f>
        <v>12550371</v>
      </c>
      <c r="F15" s="411">
        <f>C15</f>
        <v>12550371</v>
      </c>
      <c r="G15" s="413">
        <f>SUMIFS('4 기타특별회계(세출)'!$K:$K, '4 기타특별회계(세출)'!$A:$A, "행정복지위원회",  '4 기타특별회계(세출)'!$B:$B, "*특별회계", '4 기타특별회계(세출)'!$K:$K,"&lt;0")</f>
        <v>0</v>
      </c>
      <c r="H15" s="414">
        <f>SUMIFS('4 기타특별회계(세출)'!$K:$K, '4 기타특별회계(세출)'!$A:$A, "행정복지위원회",  '4 기타특별회계(세출)'!$B:$B, "*특별회계", '4 기타특별회계(세출)'!$K:$K,"&gt;0")</f>
        <v>0</v>
      </c>
      <c r="I15" s="415">
        <f>-(G15+H15)</f>
        <v>0</v>
      </c>
      <c r="J15" s="416">
        <f>F15+G15+H15+I15</f>
        <v>12550371</v>
      </c>
      <c r="K15" s="258" t="str">
        <f t="shared" si="2"/>
        <v>O</v>
      </c>
      <c r="M15" s="258" t="str">
        <f t="shared" si="3"/>
        <v>O</v>
      </c>
    </row>
    <row r="16" spans="1:13" ht="30" customHeight="1" x14ac:dyDescent="0.15">
      <c r="A16" s="581" t="s">
        <v>38</v>
      </c>
      <c r="B16" s="192" t="s">
        <v>61</v>
      </c>
      <c r="C16" s="406">
        <f>C17+C18+C19</f>
        <v>672017641</v>
      </c>
      <c r="D16" s="406">
        <f>SUM(D17:D19)</f>
        <v>0</v>
      </c>
      <c r="E16" s="407">
        <f>E17+E18+E19</f>
        <v>672017641</v>
      </c>
      <c r="F16" s="407">
        <f>F17+F18+F19</f>
        <v>672017641</v>
      </c>
      <c r="G16" s="408">
        <f>G17+G18+G19</f>
        <v>0</v>
      </c>
      <c r="H16" s="409">
        <f>H17+H18+H19</f>
        <v>0</v>
      </c>
      <c r="I16" s="409">
        <f>I17+I18+I19</f>
        <v>0</v>
      </c>
      <c r="J16" s="410">
        <f>SUM(J17:J19)</f>
        <v>672017641</v>
      </c>
      <c r="K16" s="258" t="str">
        <f t="shared" si="2"/>
        <v>O</v>
      </c>
      <c r="M16" s="258" t="str">
        <f t="shared" si="3"/>
        <v>O</v>
      </c>
    </row>
    <row r="17" spans="1:13" ht="30" customHeight="1" x14ac:dyDescent="0.15">
      <c r="A17" s="582"/>
      <c r="B17" s="188" t="s">
        <v>59</v>
      </c>
      <c r="C17" s="417">
        <v>321899965</v>
      </c>
      <c r="D17" s="411">
        <f>SUMIFS('1 일반회계(세입)'!$H:$H, '1 일반회계(세입)'!$A:$A,"도시교통위원회")</f>
        <v>0</v>
      </c>
      <c r="E17" s="412">
        <f>C17-D17</f>
        <v>321899965</v>
      </c>
      <c r="F17" s="417">
        <f>C17</f>
        <v>321899965</v>
      </c>
      <c r="G17" s="413">
        <f>SUMIFS('2 일반회계(세출)'!$K:$K, '2 일반회계(세출)'!$A:$A,"도시교통위원회", '2 일반회계(세출)'!$B:$B, "일반회계",'2 일반회계(세출)'!$K:$K,"&lt;0")</f>
        <v>0</v>
      </c>
      <c r="H17" s="414">
        <f>SUMIFS('2 일반회계(세출)'!$K:$K, '2 일반회계(세출)'!$A:$A,"도시교통위원회", '2 일반회계(세출)'!$B:$B, "일반회계",'2 일반회계(세출)'!$K:$K,"&gt;0")</f>
        <v>0</v>
      </c>
      <c r="I17" s="415">
        <f>-(G17+H17)</f>
        <v>0</v>
      </c>
      <c r="J17" s="416">
        <f>F17+G17+H17+I17</f>
        <v>321899965</v>
      </c>
      <c r="K17" s="258" t="str">
        <f t="shared" si="2"/>
        <v>O</v>
      </c>
      <c r="M17" s="258" t="str">
        <f t="shared" si="3"/>
        <v>O</v>
      </c>
    </row>
    <row r="18" spans="1:13" ht="30" customHeight="1" x14ac:dyDescent="0.15">
      <c r="A18" s="582"/>
      <c r="B18" s="188" t="s">
        <v>60</v>
      </c>
      <c r="C18" s="417">
        <v>209104133</v>
      </c>
      <c r="D18" s="411">
        <f>SUMIFS('5 공기업특별회계(세입)'!$H:$H, '5 공기업특별회계(세입)'!$A:$A,"도시교통위원회", '5 공기업특별회계(세입)'!$B:$B, "**특별회계")</f>
        <v>0</v>
      </c>
      <c r="E18" s="412">
        <f>C18-D18</f>
        <v>209104133</v>
      </c>
      <c r="F18" s="417">
        <f t="shared" ref="F18:F19" si="4">C18</f>
        <v>209104133</v>
      </c>
      <c r="G18" s="413">
        <f>SUMIFS('6 공기업특별회계(세출)'!$K:$K, '6 공기업특별회계(세출)'!$B:$B,"상수도특별회계",'6 공기업특별회계(세출)'!$H:$H,"&lt;0")+SUMIFS('6 공기업특별회계(세출)'!$K:$K, '6 공기업특별회계(세출)'!$B:$B,"하수도특별회계",'6 공기업특별회계(세출)'!$H:$H, "&lt;0")</f>
        <v>0</v>
      </c>
      <c r="H18" s="414">
        <f>SUMIFS('6 공기업특별회계(세출)'!$K:$K, '6 공기업특별회계(세출)'!$B:$B,"상수도특별회계",'6 공기업특별회계(세출)'!$K:$K,"&gt;0")+SUMIFS('6 공기업특별회계(세출)'!$K:$K, '6 공기업특별회계(세출)'!$B:$B,"하수도특별회계",'6 공기업특별회계(세출)'!$K:$K, "&gt;0")</f>
        <v>0</v>
      </c>
      <c r="I18" s="415">
        <f t="shared" ref="I18:I19" si="5">-(G18+H18)</f>
        <v>0</v>
      </c>
      <c r="J18" s="416">
        <f t="shared" ref="J18:J19" si="6">F18+G18+H18+I18</f>
        <v>209104133</v>
      </c>
      <c r="K18" s="258" t="str">
        <f t="shared" si="2"/>
        <v>O</v>
      </c>
      <c r="M18" s="258" t="str">
        <f t="shared" si="3"/>
        <v>O</v>
      </c>
    </row>
    <row r="19" spans="1:13" s="7" customFormat="1" ht="30" customHeight="1" thickBot="1" x14ac:dyDescent="0.2">
      <c r="A19" s="583"/>
      <c r="B19" s="236" t="s">
        <v>58</v>
      </c>
      <c r="C19" s="418">
        <v>141013543</v>
      </c>
      <c r="D19" s="418">
        <f>SUMIFS('3 기타특별회계(세입)'!$H:$H, '3 기타특별회계(세입)'!$A:$A,"도시교통위원회", '3 기타특별회계(세입)'!$B:$B, "**특별회계")</f>
        <v>0</v>
      </c>
      <c r="E19" s="419">
        <f>C19-D19</f>
        <v>141013543</v>
      </c>
      <c r="F19" s="418">
        <f t="shared" si="4"/>
        <v>141013543</v>
      </c>
      <c r="G19" s="420">
        <f>SUMIFS('4 기타특별회계(세출)'!$K:$K, '4 기타특별회계(세출)'!$A:$A, "도시교통위원회",  '4 기타특별회계(세출)'!$B:$B, "*특별회계", '4 기타특별회계(세출)'!$K:$K,"&lt;0")</f>
        <v>0</v>
      </c>
      <c r="H19" s="421">
        <f>SUMIFS('4 기타특별회계(세출)'!$K:$K, '4 기타특별회계(세출)'!$A:$A, "도시교통위원회",  '4 기타특별회계(세출)'!$B:$B, "*특별회계", '4 기타특별회계(세출)'!$K:$K,"&gt;0")</f>
        <v>0</v>
      </c>
      <c r="I19" s="422">
        <f t="shared" si="5"/>
        <v>0</v>
      </c>
      <c r="J19" s="423">
        <f t="shared" si="6"/>
        <v>141013543</v>
      </c>
      <c r="K19" s="258" t="str">
        <f t="shared" si="2"/>
        <v>O</v>
      </c>
      <c r="M19" s="258" t="str">
        <f t="shared" si="3"/>
        <v>O</v>
      </c>
    </row>
    <row r="20" spans="1:13" ht="16.5" x14ac:dyDescent="0.15">
      <c r="B20" s="5"/>
      <c r="C20" s="6"/>
      <c r="D20" s="6"/>
      <c r="E20" s="6"/>
      <c r="F20" s="6"/>
      <c r="G20" s="6"/>
      <c r="H20" s="6"/>
      <c r="I20" s="6"/>
      <c r="J20" s="5"/>
    </row>
    <row r="59" spans="3:13" s="7" customFormat="1" x14ac:dyDescent="0.15">
      <c r="C59" s="9"/>
      <c r="D59" s="9"/>
      <c r="E59" s="9"/>
      <c r="F59" s="9"/>
      <c r="G59" s="9"/>
      <c r="H59" s="9"/>
      <c r="I59" s="9"/>
      <c r="K59" s="259"/>
      <c r="M59" s="259"/>
    </row>
  </sheetData>
  <dataConsolidate link="1">
    <dataRefs count="1">
      <dataRef ref="H7:H15" sheet="2 일반회계(세출)"/>
    </dataRefs>
  </dataConsolidate>
  <mergeCells count="13">
    <mergeCell ref="A1:J1"/>
    <mergeCell ref="A3:A4"/>
    <mergeCell ref="B3:B4"/>
    <mergeCell ref="J3:J4"/>
    <mergeCell ref="E3:E4"/>
    <mergeCell ref="F3:F4"/>
    <mergeCell ref="A5:A8"/>
    <mergeCell ref="D3:D4"/>
    <mergeCell ref="G3:I3"/>
    <mergeCell ref="A13:A15"/>
    <mergeCell ref="A16:A19"/>
    <mergeCell ref="C3:C4"/>
    <mergeCell ref="A10:A12"/>
  </mergeCells>
  <phoneticPr fontId="10" type="noConversion"/>
  <pageMargins left="0.55118110236220474" right="0.39370078740157483" top="0.94488188976377963" bottom="0.35433070866141736" header="0" footer="0"/>
  <pageSetup paperSize="9" scale="71" firstPageNumber="2" fitToHeight="50" orientation="landscape" r:id="rId1"/>
  <headerFooter alignWithMargins="0">
    <oddHeader>&amp;L&amp;12제287회 제2차 정례회 예산결산특별위원회</oddHeader>
  </headerFooter>
  <ignoredErrors>
    <ignoredError sqref="E13 E16 E5 E7:E8 E10 I13 I16 I1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I11"/>
  <sheetViews>
    <sheetView zoomScale="115" zoomScaleNormal="115" workbookViewId="0">
      <selection activeCell="E10" sqref="E10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4" max="4" width="8.88671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30</v>
      </c>
      <c r="B1" s="22"/>
      <c r="C1" s="11"/>
      <c r="D1" s="11"/>
      <c r="E1" s="11"/>
      <c r="F1" s="596"/>
      <c r="G1" s="596"/>
      <c r="H1" s="596" t="s">
        <v>20</v>
      </c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7" t="s">
        <v>16</v>
      </c>
      <c r="D2" s="598" t="s">
        <v>40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597"/>
      <c r="B3" s="65" t="s">
        <v>21</v>
      </c>
      <c r="C3" s="597"/>
      <c r="D3" s="599"/>
      <c r="E3" s="116" t="s">
        <v>13</v>
      </c>
      <c r="F3" s="89" t="s">
        <v>52</v>
      </c>
      <c r="G3" s="597"/>
      <c r="H3" s="597"/>
      <c r="I3" s="597"/>
    </row>
    <row r="4" spans="1:9" s="53" customFormat="1" ht="48" customHeight="1" x14ac:dyDescent="0.15">
      <c r="A4" s="62" t="s">
        <v>19</v>
      </c>
      <c r="B4" s="63"/>
      <c r="C4" s="64"/>
      <c r="D4" s="172"/>
      <c r="E4" s="96">
        <f>SUM(E6:E21)</f>
        <v>0</v>
      </c>
      <c r="F4" s="90"/>
      <c r="G4" s="64"/>
      <c r="H4" s="63"/>
      <c r="I4" s="63"/>
    </row>
    <row r="5" spans="1:9" s="53" customFormat="1" ht="48" customHeight="1" x14ac:dyDescent="0.15">
      <c r="A5" s="49"/>
      <c r="B5" s="154"/>
      <c r="C5" s="39"/>
      <c r="D5" s="103"/>
      <c r="E5" s="97"/>
      <c r="F5" s="91"/>
      <c r="G5" s="39"/>
      <c r="H5" s="143"/>
      <c r="I5" s="143"/>
    </row>
    <row r="6" spans="1:9" s="53" customFormat="1" ht="48" customHeight="1" x14ac:dyDescent="0.15">
      <c r="A6" s="13"/>
      <c r="B6" s="24"/>
      <c r="C6" s="163"/>
      <c r="D6" s="173"/>
      <c r="E6" s="110"/>
      <c r="F6" s="164"/>
      <c r="G6" s="165">
        <f>D6-E6</f>
        <v>0</v>
      </c>
      <c r="H6" s="132"/>
      <c r="I6" s="132"/>
    </row>
    <row r="7" spans="1:9" s="53" customFormat="1" ht="48" customHeight="1" x14ac:dyDescent="0.15">
      <c r="A7" s="166"/>
      <c r="B7" s="35"/>
      <c r="C7" s="167"/>
      <c r="D7" s="174"/>
      <c r="E7" s="168"/>
      <c r="F7" s="169"/>
      <c r="G7" s="54">
        <f>D7-E7</f>
        <v>0</v>
      </c>
      <c r="H7" s="170"/>
      <c r="I7" s="170"/>
    </row>
    <row r="8" spans="1:9" s="53" customFormat="1" ht="48" customHeight="1" x14ac:dyDescent="0.15">
      <c r="A8" s="158"/>
      <c r="B8" s="159"/>
      <c r="C8" s="36"/>
      <c r="D8" s="175"/>
      <c r="E8" s="160"/>
      <c r="F8" s="161"/>
      <c r="G8" s="54">
        <f>D8-E8</f>
        <v>0</v>
      </c>
      <c r="H8" s="162"/>
      <c r="I8" s="162"/>
    </row>
    <row r="9" spans="1:9" s="53" customFormat="1" ht="48" customHeight="1" x14ac:dyDescent="0.15">
      <c r="A9" s="166"/>
      <c r="B9" s="35"/>
      <c r="C9" s="167"/>
      <c r="D9" s="174"/>
      <c r="E9" s="168"/>
      <c r="F9" s="169"/>
      <c r="G9" s="54">
        <f>D9-E9</f>
        <v>0</v>
      </c>
      <c r="H9" s="170"/>
      <c r="I9" s="170"/>
    </row>
    <row r="10" spans="1:9" s="53" customFormat="1" ht="48" customHeight="1" x14ac:dyDescent="0.15">
      <c r="A10" s="15"/>
      <c r="B10" s="70"/>
      <c r="C10" s="28"/>
      <c r="D10" s="176"/>
      <c r="E10" s="156"/>
      <c r="F10" s="155"/>
      <c r="G10" s="54">
        <f>D10-E10</f>
        <v>0</v>
      </c>
      <c r="H10" s="133"/>
      <c r="I10" s="133"/>
    </row>
    <row r="11" spans="1:9" s="53" customFormat="1" ht="48" customHeight="1" thickBot="1" x14ac:dyDescent="0.2">
      <c r="A11" s="17"/>
      <c r="B11" s="31"/>
      <c r="C11" s="124"/>
      <c r="D11" s="177"/>
      <c r="E11" s="157"/>
      <c r="F11" s="135"/>
      <c r="G11" s="55"/>
      <c r="H11" s="134"/>
      <c r="I11" s="134"/>
    </row>
  </sheetData>
  <mergeCells count="9">
    <mergeCell ref="F1:G1"/>
    <mergeCell ref="H1:I1"/>
    <mergeCell ref="A2:A3"/>
    <mergeCell ref="C2:C3"/>
    <mergeCell ref="D2:D3"/>
    <mergeCell ref="E2:F2"/>
    <mergeCell ref="G2:G3"/>
    <mergeCell ref="H2:H3"/>
    <mergeCell ref="I2:I3"/>
  </mergeCells>
  <phoneticPr fontId="10" type="noConversion"/>
  <pageMargins left="0.55118110236220474" right="0.47244094488188981" top="1.0629921259842521" bottom="0.62992125984251968" header="0.70866141732283472" footer="0.39370078740157483"/>
  <pageSetup paperSize="9" firstPageNumber="6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rgb="FFFFFF00"/>
  </sheetPr>
  <dimension ref="A1:K14"/>
  <sheetViews>
    <sheetView zoomScaleNormal="100" workbookViewId="0">
      <selection activeCell="E9" sqref="E9"/>
    </sheetView>
  </sheetViews>
  <sheetFormatPr defaultRowHeight="13.5" x14ac:dyDescent="0.15"/>
  <cols>
    <col min="2" max="2" width="11.21875" customWidth="1"/>
    <col min="3" max="3" width="15" style="2" customWidth="1"/>
    <col min="4" max="4" width="8" style="2" customWidth="1"/>
    <col min="5" max="5" width="16.6640625" customWidth="1"/>
    <col min="6" max="6" width="12.5546875" customWidth="1"/>
    <col min="7" max="7" width="11.6640625" customWidth="1"/>
    <col min="8" max="8" width="14.5546875" customWidth="1"/>
    <col min="9" max="9" width="13.77734375" customWidth="1"/>
    <col min="10" max="10" width="13.21875" customWidth="1"/>
  </cols>
  <sheetData>
    <row r="1" spans="1:11" s="185" customFormat="1" ht="53.25" customHeight="1" x14ac:dyDescent="0.15">
      <c r="A1"/>
      <c r="B1" s="602" t="s">
        <v>81</v>
      </c>
      <c r="C1" s="602"/>
      <c r="D1" s="602"/>
      <c r="E1" s="602"/>
      <c r="F1" s="602"/>
      <c r="G1" s="602"/>
      <c r="H1" s="602"/>
      <c r="I1" s="209"/>
    </row>
    <row r="2" spans="1:11" s="1" customFormat="1" ht="37.5" customHeight="1" x14ac:dyDescent="0.15">
      <c r="A2" s="216" t="s">
        <v>74</v>
      </c>
      <c r="B2" s="22"/>
      <c r="C2" s="22"/>
      <c r="D2" s="184"/>
      <c r="E2" s="11"/>
      <c r="F2" s="11"/>
      <c r="G2" s="11"/>
      <c r="H2" s="596"/>
      <c r="I2" s="596"/>
      <c r="J2" s="183" t="s">
        <v>20</v>
      </c>
    </row>
    <row r="3" spans="1:11" s="10" customFormat="1" ht="39" customHeight="1" x14ac:dyDescent="0.15">
      <c r="A3" s="601" t="s">
        <v>62</v>
      </c>
      <c r="B3" s="601" t="s">
        <v>63</v>
      </c>
      <c r="C3" s="194" t="s">
        <v>64</v>
      </c>
      <c r="D3" s="604" t="s">
        <v>65</v>
      </c>
      <c r="E3" s="601" t="s">
        <v>73</v>
      </c>
      <c r="F3" s="601" t="s">
        <v>66</v>
      </c>
      <c r="G3" s="603" t="s">
        <v>67</v>
      </c>
      <c r="H3" s="601"/>
      <c r="I3" s="601" t="s">
        <v>68</v>
      </c>
      <c r="J3" s="601" t="s">
        <v>69</v>
      </c>
    </row>
    <row r="4" spans="1:11" s="10" customFormat="1" ht="33" customHeight="1" x14ac:dyDescent="0.15">
      <c r="A4" s="601"/>
      <c r="B4" s="601"/>
      <c r="C4" s="195" t="s">
        <v>70</v>
      </c>
      <c r="D4" s="605"/>
      <c r="E4" s="601"/>
      <c r="F4" s="601"/>
      <c r="G4" s="196" t="s">
        <v>71</v>
      </c>
      <c r="H4" s="196" t="s">
        <v>72</v>
      </c>
      <c r="I4" s="601"/>
      <c r="J4" s="601"/>
    </row>
    <row r="5" spans="1:11" s="10" customFormat="1" ht="42.75" customHeight="1" x14ac:dyDescent="0.15">
      <c r="A5" s="213"/>
      <c r="B5" s="217"/>
      <c r="C5" s="215"/>
      <c r="D5" s="215"/>
      <c r="E5" s="214"/>
      <c r="F5" s="218">
        <f>SUM(F6:F12)</f>
        <v>0</v>
      </c>
      <c r="G5" s="218">
        <f>SUM(G7:G12)</f>
        <v>0</v>
      </c>
      <c r="H5" s="218">
        <f>SUM(H6:H12)</f>
        <v>0</v>
      </c>
      <c r="I5" s="218">
        <f>SUM(I7:I12)</f>
        <v>0</v>
      </c>
      <c r="J5" s="215"/>
    </row>
    <row r="6" spans="1:11" s="10" customFormat="1" ht="42.75" customHeight="1" x14ac:dyDescent="0.15">
      <c r="A6" s="220" t="s">
        <v>80</v>
      </c>
      <c r="B6" s="221"/>
      <c r="C6" s="222"/>
      <c r="D6" s="222"/>
      <c r="E6" s="223"/>
      <c r="F6" s="224">
        <f>SUM(F7:F12)</f>
        <v>0</v>
      </c>
      <c r="G6" s="224">
        <f>SUM(G7:G12)</f>
        <v>0</v>
      </c>
      <c r="H6" s="223"/>
      <c r="I6" s="226">
        <f>SUM(I7:I12)</f>
        <v>0</v>
      </c>
      <c r="J6" s="222"/>
    </row>
    <row r="7" spans="1:11" s="10" customFormat="1" ht="42.75" customHeight="1" x14ac:dyDescent="0.15">
      <c r="A7" s="207" t="s">
        <v>78</v>
      </c>
      <c r="B7" s="204"/>
      <c r="C7" s="205"/>
      <c r="D7" s="205"/>
      <c r="E7" s="201"/>
      <c r="F7" s="206"/>
      <c r="G7" s="199"/>
      <c r="H7" s="201"/>
      <c r="I7" s="200">
        <f t="shared" ref="I7:I12" si="0">F7-G7</f>
        <v>0</v>
      </c>
      <c r="J7" s="205"/>
    </row>
    <row r="8" spans="1:11" s="10" customFormat="1" ht="42.75" customHeight="1" x14ac:dyDescent="0.15">
      <c r="A8" s="207"/>
      <c r="B8" s="204"/>
      <c r="C8" s="205"/>
      <c r="D8" s="205"/>
      <c r="E8" s="201"/>
      <c r="F8" s="206"/>
      <c r="G8" s="199"/>
      <c r="H8" s="201"/>
      <c r="I8" s="200">
        <f t="shared" si="0"/>
        <v>0</v>
      </c>
      <c r="J8" s="205"/>
    </row>
    <row r="9" spans="1:11" s="10" customFormat="1" ht="42.75" customHeight="1" x14ac:dyDescent="0.15">
      <c r="A9" s="207"/>
      <c r="B9" s="204"/>
      <c r="C9" s="205"/>
      <c r="D9" s="205"/>
      <c r="E9" s="201"/>
      <c r="F9" s="206"/>
      <c r="G9" s="199"/>
      <c r="H9" s="201"/>
      <c r="I9" s="200">
        <f t="shared" si="0"/>
        <v>0</v>
      </c>
      <c r="J9" s="205"/>
    </row>
    <row r="10" spans="1:11" s="10" customFormat="1" ht="42.75" customHeight="1" x14ac:dyDescent="0.15">
      <c r="A10" s="207"/>
      <c r="B10" s="204"/>
      <c r="C10" s="205"/>
      <c r="D10" s="205"/>
      <c r="E10" s="201"/>
      <c r="F10" s="206"/>
      <c r="G10" s="199"/>
      <c r="H10" s="201"/>
      <c r="I10" s="200">
        <f t="shared" si="0"/>
        <v>0</v>
      </c>
      <c r="J10" s="205"/>
    </row>
    <row r="11" spans="1:11" s="10" customFormat="1" ht="42.75" customHeight="1" x14ac:dyDescent="0.15">
      <c r="A11" s="207"/>
      <c r="B11" s="204"/>
      <c r="C11" s="205"/>
      <c r="D11" s="205"/>
      <c r="E11" s="201"/>
      <c r="F11" s="206"/>
      <c r="G11" s="199"/>
      <c r="H11" s="201"/>
      <c r="I11" s="200">
        <f t="shared" si="0"/>
        <v>0</v>
      </c>
      <c r="J11" s="205"/>
    </row>
    <row r="12" spans="1:11" s="10" customFormat="1" ht="42.75" customHeight="1" x14ac:dyDescent="0.15">
      <c r="A12" s="207"/>
      <c r="B12" s="204"/>
      <c r="C12" s="197"/>
      <c r="D12" s="205"/>
      <c r="E12" s="201"/>
      <c r="F12" s="206"/>
      <c r="G12" s="199"/>
      <c r="H12" s="203"/>
      <c r="I12" s="200">
        <f t="shared" si="0"/>
        <v>0</v>
      </c>
      <c r="J12" s="205"/>
    </row>
    <row r="13" spans="1:11" s="10" customFormat="1" ht="42.75" customHeight="1" x14ac:dyDescent="0.15">
      <c r="A13"/>
      <c r="B13"/>
      <c r="C13" s="2"/>
      <c r="D13" s="2"/>
      <c r="E13"/>
      <c r="F13"/>
      <c r="G13"/>
      <c r="H13"/>
      <c r="I13"/>
      <c r="J13"/>
      <c r="K13"/>
    </row>
    <row r="14" spans="1:11" s="10" customFormat="1" ht="42.75" customHeight="1" x14ac:dyDescent="0.15">
      <c r="A14"/>
      <c r="B14"/>
      <c r="C14" s="2"/>
      <c r="D14" s="2"/>
      <c r="E14"/>
      <c r="F14"/>
      <c r="G14"/>
      <c r="H14"/>
      <c r="I14"/>
      <c r="J14"/>
      <c r="K14"/>
    </row>
  </sheetData>
  <mergeCells count="10">
    <mergeCell ref="A3:A4"/>
    <mergeCell ref="B1:H1"/>
    <mergeCell ref="J3:J4"/>
    <mergeCell ref="H2:I2"/>
    <mergeCell ref="B3:B4"/>
    <mergeCell ref="E3:E4"/>
    <mergeCell ref="F3:F4"/>
    <mergeCell ref="G3:H3"/>
    <mergeCell ref="I3:I4"/>
    <mergeCell ref="D3:D4"/>
  </mergeCells>
  <phoneticPr fontId="10" type="noConversion"/>
  <dataValidations count="1">
    <dataValidation type="list" allowBlank="1" showInputMessage="1" showErrorMessage="1" sqref="A7:A14" xr:uid="{00000000-0002-0000-0300-000000000000}">
      <formula1>"공유재산특별회계, 문화시설건립특별회계"</formula1>
    </dataValidation>
  </dataValidations>
  <pageMargins left="0.47244094488188981" right="0.43307086614173229" top="1.0629921259842521" bottom="0.62992125984251968" header="0.70866141732283472" footer="0.39370078740157483"/>
  <pageSetup paperSize="9" firstPageNumber="8" orientation="landscape" useFirstPageNumber="1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K11"/>
  <sheetViews>
    <sheetView zoomScale="115" zoomScaleNormal="115" workbookViewId="0">
      <selection activeCell="H7" sqref="H7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5" max="5" width="10.33203125" hidden="1" customWidth="1"/>
    <col min="6" max="6" width="20.88671875" hidden="1" customWidth="1"/>
    <col min="7" max="7" width="10.21875" customWidth="1"/>
    <col min="8" max="8" width="20.44140625" customWidth="1"/>
    <col min="9" max="9" width="10.33203125" customWidth="1"/>
    <col min="10" max="10" width="20.88671875" customWidth="1"/>
    <col min="11" max="11" width="10.33203125" customWidth="1"/>
  </cols>
  <sheetData>
    <row r="1" spans="1:11" s="1" customFormat="1" ht="18" customHeight="1" x14ac:dyDescent="0.15">
      <c r="A1" s="22" t="s">
        <v>41</v>
      </c>
      <c r="B1" s="22"/>
      <c r="C1" s="11"/>
      <c r="D1" s="11"/>
      <c r="E1" s="11"/>
      <c r="F1" s="11"/>
      <c r="G1" s="11"/>
      <c r="H1" s="596"/>
      <c r="I1" s="596"/>
      <c r="J1" s="596" t="s">
        <v>20</v>
      </c>
      <c r="K1" s="596"/>
    </row>
    <row r="2" spans="1:11" s="10" customFormat="1" ht="32.25" customHeight="1" thickBot="1" x14ac:dyDescent="0.2">
      <c r="A2" s="597" t="s">
        <v>14</v>
      </c>
      <c r="B2" s="12" t="s">
        <v>15</v>
      </c>
      <c r="C2" s="597" t="s">
        <v>16</v>
      </c>
      <c r="D2" s="598" t="s">
        <v>40</v>
      </c>
      <c r="E2" s="597" t="s">
        <v>18</v>
      </c>
      <c r="F2" s="597"/>
      <c r="G2" s="600" t="s">
        <v>51</v>
      </c>
      <c r="H2" s="597"/>
      <c r="I2" s="598" t="s">
        <v>43</v>
      </c>
      <c r="J2" s="598" t="s">
        <v>45</v>
      </c>
      <c r="K2" s="598" t="s">
        <v>46</v>
      </c>
    </row>
    <row r="3" spans="1:11" s="10" customFormat="1" ht="32.25" customHeight="1" x14ac:dyDescent="0.15">
      <c r="A3" s="597"/>
      <c r="B3" s="65" t="s">
        <v>21</v>
      </c>
      <c r="C3" s="597"/>
      <c r="D3" s="597"/>
      <c r="E3" s="61" t="s">
        <v>25</v>
      </c>
      <c r="F3" s="88" t="s">
        <v>26</v>
      </c>
      <c r="G3" s="116" t="s">
        <v>13</v>
      </c>
      <c r="H3" s="89" t="s">
        <v>52</v>
      </c>
      <c r="I3" s="597"/>
      <c r="J3" s="597"/>
      <c r="K3" s="597"/>
    </row>
    <row r="4" spans="1:11" s="10" customFormat="1" ht="48" customHeight="1" x14ac:dyDescent="0.15">
      <c r="A4" s="62" t="s">
        <v>19</v>
      </c>
      <c r="B4" s="66"/>
      <c r="C4" s="67"/>
      <c r="D4" s="67"/>
      <c r="E4" s="66">
        <f>SUM(E5:E15)</f>
        <v>0</v>
      </c>
      <c r="F4" s="102"/>
      <c r="G4" s="107">
        <f>SUM(G5:G15)</f>
        <v>0</v>
      </c>
      <c r="H4" s="106"/>
      <c r="I4" s="67"/>
      <c r="J4" s="63"/>
      <c r="K4" s="63"/>
    </row>
    <row r="5" spans="1:11" s="10" customFormat="1" ht="48" customHeight="1" x14ac:dyDescent="0.15">
      <c r="A5" s="41"/>
      <c r="B5" s="38"/>
      <c r="C5" s="39"/>
      <c r="D5" s="40"/>
      <c r="E5" s="44"/>
      <c r="F5" s="103"/>
      <c r="G5" s="97"/>
      <c r="H5" s="91"/>
      <c r="I5" s="39"/>
      <c r="J5" s="50"/>
      <c r="K5" s="50"/>
    </row>
    <row r="6" spans="1:11" s="10" customFormat="1" ht="48" customHeight="1" x14ac:dyDescent="0.15">
      <c r="A6" s="15"/>
      <c r="B6" s="26"/>
      <c r="C6" s="51"/>
      <c r="D6" s="27"/>
      <c r="E6" s="77"/>
      <c r="F6" s="104"/>
      <c r="G6" s="85"/>
      <c r="H6" s="117"/>
      <c r="I6" s="54">
        <f>D6-G6</f>
        <v>0</v>
      </c>
      <c r="J6" s="132"/>
      <c r="K6" s="132"/>
    </row>
    <row r="7" spans="1:11" s="10" customFormat="1" ht="48" customHeight="1" x14ac:dyDescent="0.15">
      <c r="A7" s="15"/>
      <c r="B7" s="26"/>
      <c r="C7" s="29"/>
      <c r="D7" s="27"/>
      <c r="E7" s="77"/>
      <c r="F7" s="104"/>
      <c r="G7" s="85"/>
      <c r="H7" s="117"/>
      <c r="I7" s="54">
        <f>D7-G7</f>
        <v>0</v>
      </c>
      <c r="J7" s="133"/>
      <c r="K7" s="133"/>
    </row>
    <row r="8" spans="1:11" s="10" customFormat="1" ht="48" customHeight="1" x14ac:dyDescent="0.15">
      <c r="A8" s="178"/>
      <c r="B8" s="179"/>
      <c r="C8" s="167"/>
      <c r="D8" s="37"/>
      <c r="E8" s="171"/>
      <c r="F8" s="180"/>
      <c r="G8" s="101"/>
      <c r="H8" s="181"/>
      <c r="I8" s="54">
        <f>D8-G8</f>
        <v>0</v>
      </c>
      <c r="J8" s="59"/>
      <c r="K8" s="59"/>
    </row>
    <row r="9" spans="1:11" s="10" customFormat="1" ht="48" customHeight="1" x14ac:dyDescent="0.15">
      <c r="A9" s="15"/>
      <c r="B9" s="26"/>
      <c r="C9" s="29"/>
      <c r="D9" s="27"/>
      <c r="E9" s="77"/>
      <c r="F9" s="104"/>
      <c r="G9" s="85"/>
      <c r="H9" s="117"/>
      <c r="I9" s="54">
        <f>D9-G9</f>
        <v>0</v>
      </c>
      <c r="J9" s="133"/>
      <c r="K9" s="133"/>
    </row>
    <row r="10" spans="1:11" s="10" customFormat="1" ht="48" customHeight="1" x14ac:dyDescent="0.15">
      <c r="A10" s="15"/>
      <c r="B10" s="26"/>
      <c r="C10" s="28"/>
      <c r="D10" s="27"/>
      <c r="E10" s="43"/>
      <c r="F10" s="105"/>
      <c r="G10" s="85"/>
      <c r="H10" s="92"/>
      <c r="I10" s="54">
        <f>D10-G10</f>
        <v>0</v>
      </c>
      <c r="J10" s="133"/>
      <c r="K10" s="133"/>
    </row>
    <row r="11" spans="1:11" s="10" customFormat="1" ht="48" customHeight="1" thickBot="1" x14ac:dyDescent="0.2">
      <c r="A11" s="17"/>
      <c r="B11" s="18"/>
      <c r="C11" s="21"/>
      <c r="D11" s="18"/>
      <c r="E11" s="18"/>
      <c r="F11" s="83"/>
      <c r="G11" s="87"/>
      <c r="H11" s="84"/>
      <c r="I11" s="58"/>
      <c r="J11" s="134"/>
      <c r="K11" s="134"/>
    </row>
  </sheetData>
  <mergeCells count="10">
    <mergeCell ref="J2:J3"/>
    <mergeCell ref="K2:K3"/>
    <mergeCell ref="J1:K1"/>
    <mergeCell ref="H1:I1"/>
    <mergeCell ref="A2:A3"/>
    <mergeCell ref="C2:C3"/>
    <mergeCell ref="D2:D3"/>
    <mergeCell ref="E2:F2"/>
    <mergeCell ref="G2:H2"/>
    <mergeCell ref="I2:I3"/>
  </mergeCells>
  <phoneticPr fontId="10" type="noConversion"/>
  <pageMargins left="0.55118110236220474" right="0.47244094488188981" top="1.0629921259842521" bottom="0.62992125984251968" header="0.70866141732283472" footer="0.39370078740157483"/>
  <pageSetup paperSize="9" firstPageNumber="34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K11"/>
  <sheetViews>
    <sheetView zoomScale="115" zoomScaleNormal="115" workbookViewId="0">
      <selection activeCell="G2" sqref="G2:H3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5" max="5" width="10.33203125" hidden="1" customWidth="1"/>
    <col min="6" max="6" width="20.88671875" hidden="1" customWidth="1"/>
    <col min="7" max="7" width="10.21875" customWidth="1"/>
    <col min="8" max="8" width="20.44140625" customWidth="1"/>
    <col min="9" max="9" width="10.33203125" customWidth="1"/>
    <col min="10" max="10" width="20.88671875" customWidth="1"/>
    <col min="11" max="11" width="10.33203125" customWidth="1"/>
  </cols>
  <sheetData>
    <row r="1" spans="1:11" s="1" customFormat="1" ht="18" customHeight="1" x14ac:dyDescent="0.15">
      <c r="A1" s="22" t="s">
        <v>42</v>
      </c>
      <c r="B1" s="22"/>
      <c r="C1" s="11"/>
      <c r="D1" s="11"/>
      <c r="E1" s="11"/>
      <c r="F1" s="11"/>
      <c r="G1" s="11"/>
      <c r="H1" s="596"/>
      <c r="I1" s="596"/>
      <c r="J1" s="596" t="s">
        <v>20</v>
      </c>
      <c r="K1" s="596"/>
    </row>
    <row r="2" spans="1:11" s="10" customFormat="1" ht="32.25" customHeight="1" thickBot="1" x14ac:dyDescent="0.2">
      <c r="A2" s="597" t="s">
        <v>14</v>
      </c>
      <c r="B2" s="12" t="s">
        <v>15</v>
      </c>
      <c r="C2" s="597" t="s">
        <v>16</v>
      </c>
      <c r="D2" s="598" t="s">
        <v>40</v>
      </c>
      <c r="E2" s="597" t="s">
        <v>18</v>
      </c>
      <c r="F2" s="597"/>
      <c r="G2" s="600" t="s">
        <v>51</v>
      </c>
      <c r="H2" s="597"/>
      <c r="I2" s="598" t="s">
        <v>43</v>
      </c>
      <c r="J2" s="598" t="s">
        <v>45</v>
      </c>
      <c r="K2" s="598" t="s">
        <v>46</v>
      </c>
    </row>
    <row r="3" spans="1:11" s="10" customFormat="1" ht="32.25" customHeight="1" x14ac:dyDescent="0.15">
      <c r="A3" s="597"/>
      <c r="B3" s="65" t="s">
        <v>21</v>
      </c>
      <c r="C3" s="597"/>
      <c r="D3" s="597"/>
      <c r="E3" s="61" t="s">
        <v>25</v>
      </c>
      <c r="F3" s="88" t="s">
        <v>26</v>
      </c>
      <c r="G3" s="116" t="s">
        <v>13</v>
      </c>
      <c r="H3" s="89" t="s">
        <v>52</v>
      </c>
      <c r="I3" s="597"/>
      <c r="J3" s="597"/>
      <c r="K3" s="597"/>
    </row>
    <row r="4" spans="1:11" s="10" customFormat="1" ht="48" customHeight="1" x14ac:dyDescent="0.15">
      <c r="A4" s="68" t="s">
        <v>44</v>
      </c>
      <c r="B4" s="66"/>
      <c r="C4" s="67"/>
      <c r="D4" s="67"/>
      <c r="E4" s="66">
        <f>SUM(E6:E36)</f>
        <v>0</v>
      </c>
      <c r="F4" s="102"/>
      <c r="G4" s="107">
        <f>SUM(G6:G36)</f>
        <v>0</v>
      </c>
      <c r="H4" s="106"/>
      <c r="I4" s="67"/>
      <c r="J4" s="63"/>
      <c r="K4" s="63"/>
    </row>
    <row r="5" spans="1:11" s="10" customFormat="1" ht="48" customHeight="1" x14ac:dyDescent="0.15">
      <c r="A5" s="41"/>
      <c r="B5" s="38"/>
      <c r="C5" s="39"/>
      <c r="D5" s="40"/>
      <c r="E5" s="47"/>
      <c r="F5" s="108"/>
      <c r="G5" s="97"/>
      <c r="H5" s="91"/>
      <c r="I5" s="39"/>
      <c r="J5" s="50"/>
      <c r="K5" s="50"/>
    </row>
    <row r="6" spans="1:11" s="10" customFormat="1" ht="48" customHeight="1" x14ac:dyDescent="0.15">
      <c r="A6" s="42"/>
      <c r="B6" s="26"/>
      <c r="C6" s="28"/>
      <c r="D6" s="27"/>
      <c r="E6" s="78"/>
      <c r="F6" s="104"/>
      <c r="G6" s="85"/>
      <c r="H6" s="117"/>
      <c r="I6" s="54">
        <f>D6-G6</f>
        <v>0</v>
      </c>
      <c r="J6" s="132"/>
      <c r="K6" s="132"/>
    </row>
    <row r="7" spans="1:11" s="10" customFormat="1" ht="48" customHeight="1" x14ac:dyDescent="0.15">
      <c r="A7" s="42"/>
      <c r="B7" s="26"/>
      <c r="C7" s="28"/>
      <c r="D7" s="27"/>
      <c r="E7" s="78"/>
      <c r="F7" s="104"/>
      <c r="G7" s="85"/>
      <c r="H7" s="117"/>
      <c r="I7" s="54">
        <f>D7-G7</f>
        <v>0</v>
      </c>
      <c r="J7" s="133"/>
      <c r="K7" s="133"/>
    </row>
    <row r="8" spans="1:11" s="10" customFormat="1" ht="48" customHeight="1" x14ac:dyDescent="0.15">
      <c r="A8" s="42"/>
      <c r="B8" s="26"/>
      <c r="C8" s="28"/>
      <c r="D8" s="27"/>
      <c r="E8" s="78"/>
      <c r="F8" s="104"/>
      <c r="G8" s="85"/>
      <c r="H8" s="117"/>
      <c r="I8" s="54">
        <f>D8-G8</f>
        <v>0</v>
      </c>
      <c r="J8" s="133"/>
      <c r="K8" s="133"/>
    </row>
    <row r="9" spans="1:11" s="10" customFormat="1" ht="48" customHeight="1" x14ac:dyDescent="0.15">
      <c r="A9" s="25"/>
      <c r="B9" s="26"/>
      <c r="C9" s="29"/>
      <c r="D9" s="27"/>
      <c r="E9" s="78"/>
      <c r="F9" s="104"/>
      <c r="G9" s="85"/>
      <c r="H9" s="117"/>
      <c r="I9" s="54">
        <f>D9-G9</f>
        <v>0</v>
      </c>
      <c r="J9" s="133"/>
      <c r="K9" s="133"/>
    </row>
    <row r="10" spans="1:11" s="10" customFormat="1" ht="48" customHeight="1" x14ac:dyDescent="0.15">
      <c r="A10" s="25"/>
      <c r="B10" s="26"/>
      <c r="C10" s="29"/>
      <c r="D10" s="27"/>
      <c r="E10" s="78"/>
      <c r="F10" s="104"/>
      <c r="G10" s="85"/>
      <c r="H10" s="117"/>
      <c r="I10" s="54">
        <f>D10-G10</f>
        <v>0</v>
      </c>
      <c r="J10" s="133"/>
      <c r="K10" s="133"/>
    </row>
    <row r="11" spans="1:11" s="10" customFormat="1" ht="48" customHeight="1" thickBot="1" x14ac:dyDescent="0.2">
      <c r="A11" s="30"/>
      <c r="B11" s="31"/>
      <c r="C11" s="34"/>
      <c r="D11" s="32"/>
      <c r="E11" s="79"/>
      <c r="F11" s="109"/>
      <c r="G11" s="99"/>
      <c r="H11" s="118"/>
      <c r="I11" s="55"/>
      <c r="J11" s="134"/>
      <c r="K11" s="134"/>
    </row>
  </sheetData>
  <mergeCells count="10">
    <mergeCell ref="J2:J3"/>
    <mergeCell ref="K2:K3"/>
    <mergeCell ref="J1:K1"/>
    <mergeCell ref="H1:I1"/>
    <mergeCell ref="A2:A3"/>
    <mergeCell ref="C2:C3"/>
    <mergeCell ref="D2:D3"/>
    <mergeCell ref="E2:F2"/>
    <mergeCell ref="G2:H2"/>
    <mergeCell ref="I2:I3"/>
  </mergeCells>
  <phoneticPr fontId="10" type="noConversion"/>
  <pageMargins left="0.55118110236220474" right="0.47244094488188981" top="1.0629921259842521" bottom="0.62992125984251968" header="0.70866141732283472" footer="0.39370078740157483"/>
  <pageSetup paperSize="9" firstPageNumber="35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I11"/>
  <sheetViews>
    <sheetView zoomScale="115" zoomScaleNormal="115" workbookViewId="0">
      <selection activeCell="E2" sqref="E2:F3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27</v>
      </c>
      <c r="B1" s="22"/>
      <c r="C1" s="11"/>
      <c r="D1" s="11"/>
      <c r="E1" s="11"/>
      <c r="F1" s="596" t="s">
        <v>20</v>
      </c>
      <c r="G1" s="596"/>
      <c r="H1" s="596"/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7" t="s">
        <v>16</v>
      </c>
      <c r="D2" s="598" t="s">
        <v>40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606"/>
      <c r="B3" s="23" t="s">
        <v>21</v>
      </c>
      <c r="C3" s="606"/>
      <c r="D3" s="607"/>
      <c r="E3" s="116" t="s">
        <v>13</v>
      </c>
      <c r="F3" s="89" t="s">
        <v>52</v>
      </c>
      <c r="G3" s="606"/>
      <c r="H3" s="606"/>
      <c r="I3" s="606"/>
    </row>
    <row r="4" spans="1:9" s="10" customFormat="1" ht="42" customHeight="1" x14ac:dyDescent="0.15">
      <c r="A4" s="145" t="s">
        <v>19</v>
      </c>
      <c r="B4" s="146"/>
      <c r="C4" s="147"/>
      <c r="D4" s="148"/>
      <c r="E4" s="149">
        <f>SUM(E5:E419)</f>
        <v>0</v>
      </c>
      <c r="F4" s="150"/>
      <c r="G4" s="147"/>
      <c r="H4" s="146"/>
      <c r="I4" s="146"/>
    </row>
    <row r="5" spans="1:9" s="10" customFormat="1" ht="42" customHeight="1" x14ac:dyDescent="0.15">
      <c r="A5" s="49" t="s">
        <v>22</v>
      </c>
      <c r="B5" s="143"/>
      <c r="C5" s="46"/>
      <c r="D5" s="144"/>
      <c r="E5" s="113"/>
      <c r="F5" s="100"/>
      <c r="G5" s="46"/>
      <c r="H5" s="50"/>
      <c r="I5" s="50"/>
    </row>
    <row r="6" spans="1:9" s="10" customFormat="1" ht="48" customHeight="1" x14ac:dyDescent="0.15">
      <c r="A6" s="13"/>
      <c r="B6" s="14"/>
      <c r="C6" s="19" t="s">
        <v>12</v>
      </c>
      <c r="D6" s="138"/>
      <c r="E6" s="114"/>
      <c r="F6" s="141"/>
      <c r="G6" s="151">
        <f>D6-E6</f>
        <v>0</v>
      </c>
      <c r="H6" s="132"/>
      <c r="I6" s="132"/>
    </row>
    <row r="7" spans="1:9" s="10" customFormat="1" ht="48" customHeight="1" x14ac:dyDescent="0.15">
      <c r="A7" s="15"/>
      <c r="B7" s="16"/>
      <c r="C7" s="20"/>
      <c r="D7" s="139"/>
      <c r="E7" s="111"/>
      <c r="F7" s="142"/>
      <c r="G7" s="152">
        <f>D7-E7</f>
        <v>0</v>
      </c>
      <c r="H7" s="133"/>
      <c r="I7" s="133"/>
    </row>
    <row r="8" spans="1:9" s="10" customFormat="1" ht="48" customHeight="1" x14ac:dyDescent="0.15">
      <c r="A8" s="15"/>
      <c r="B8" s="16"/>
      <c r="C8" s="20"/>
      <c r="D8" s="139"/>
      <c r="E8" s="111"/>
      <c r="F8" s="142"/>
      <c r="G8" s="152">
        <f>D8-E8</f>
        <v>0</v>
      </c>
      <c r="H8" s="133"/>
      <c r="I8" s="133"/>
    </row>
    <row r="9" spans="1:9" s="10" customFormat="1" ht="48" customHeight="1" x14ac:dyDescent="0.15">
      <c r="A9" s="15"/>
      <c r="B9" s="16"/>
      <c r="C9" s="20"/>
      <c r="D9" s="139"/>
      <c r="E9" s="111"/>
      <c r="F9" s="142"/>
      <c r="G9" s="152">
        <f>D9-E9</f>
        <v>0</v>
      </c>
      <c r="H9" s="133"/>
      <c r="I9" s="133"/>
    </row>
    <row r="10" spans="1:9" s="10" customFormat="1" ht="48" customHeight="1" x14ac:dyDescent="0.15">
      <c r="A10" s="15"/>
      <c r="B10" s="16"/>
      <c r="C10" s="20"/>
      <c r="D10" s="139"/>
      <c r="E10" s="111"/>
      <c r="F10" s="142"/>
      <c r="G10" s="152">
        <f>D10-E10</f>
        <v>0</v>
      </c>
      <c r="H10" s="133"/>
      <c r="I10" s="133"/>
    </row>
    <row r="11" spans="1:9" s="10" customFormat="1" ht="48" customHeight="1" thickBot="1" x14ac:dyDescent="0.2">
      <c r="A11" s="17"/>
      <c r="B11" s="18"/>
      <c r="C11" s="21"/>
      <c r="D11" s="140"/>
      <c r="E11" s="87"/>
      <c r="F11" s="84"/>
      <c r="G11" s="153"/>
      <c r="H11" s="134"/>
      <c r="I11" s="134"/>
    </row>
  </sheetData>
  <mergeCells count="8">
    <mergeCell ref="H2:H3"/>
    <mergeCell ref="I2:I3"/>
    <mergeCell ref="F1:I1"/>
    <mergeCell ref="A2:A3"/>
    <mergeCell ref="C2:C3"/>
    <mergeCell ref="D2:D3"/>
    <mergeCell ref="E2:F2"/>
    <mergeCell ref="G2:G3"/>
  </mergeCells>
  <phoneticPr fontId="10" type="noConversion"/>
  <pageMargins left="0.55118110236220474" right="0.47244094488188981" top="1.1417322834645669" bottom="0.62992125984251968" header="0.70866141732283472" footer="0.39370078740157483"/>
  <pageSetup paperSize="9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&amp;C1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/>
  <dimension ref="A1:I11"/>
  <sheetViews>
    <sheetView zoomScale="115" zoomScaleNormal="115" workbookViewId="0">
      <selection activeCell="F6" sqref="F6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28</v>
      </c>
      <c r="B1" s="22"/>
      <c r="C1" s="11"/>
      <c r="D1" s="11"/>
      <c r="E1" s="11"/>
      <c r="F1" s="596" t="s">
        <v>20</v>
      </c>
      <c r="G1" s="596"/>
      <c r="H1" s="596"/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7" t="s">
        <v>16</v>
      </c>
      <c r="D2" s="598" t="s">
        <v>40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606"/>
      <c r="B3" s="23" t="s">
        <v>21</v>
      </c>
      <c r="C3" s="606"/>
      <c r="D3" s="607"/>
      <c r="E3" s="116" t="s">
        <v>13</v>
      </c>
      <c r="F3" s="89" t="s">
        <v>52</v>
      </c>
      <c r="G3" s="606"/>
      <c r="H3" s="606"/>
      <c r="I3" s="606"/>
    </row>
    <row r="4" spans="1:9" s="10" customFormat="1" ht="42" customHeight="1" x14ac:dyDescent="0.15">
      <c r="A4" s="145" t="s">
        <v>19</v>
      </c>
      <c r="B4" s="146"/>
      <c r="C4" s="147"/>
      <c r="D4" s="148"/>
      <c r="E4" s="149">
        <f>SUM(E5:E419)</f>
        <v>0</v>
      </c>
      <c r="F4" s="150"/>
      <c r="G4" s="147"/>
      <c r="H4" s="146"/>
      <c r="I4" s="146"/>
    </row>
    <row r="5" spans="1:9" s="10" customFormat="1" ht="42" customHeight="1" x14ac:dyDescent="0.15">
      <c r="A5" s="49" t="s">
        <v>22</v>
      </c>
      <c r="B5" s="143"/>
      <c r="C5" s="46"/>
      <c r="D5" s="144"/>
      <c r="E5" s="113"/>
      <c r="F5" s="100"/>
      <c r="G5" s="46"/>
      <c r="H5" s="143"/>
      <c r="I5" s="143"/>
    </row>
    <row r="6" spans="1:9" s="10" customFormat="1" ht="48" customHeight="1" x14ac:dyDescent="0.15">
      <c r="A6" s="13"/>
      <c r="B6" s="14"/>
      <c r="C6" s="19" t="s">
        <v>12</v>
      </c>
      <c r="D6" s="138"/>
      <c r="E6" s="114"/>
      <c r="F6" s="141"/>
      <c r="G6" s="151">
        <f>D6-E6</f>
        <v>0</v>
      </c>
      <c r="H6" s="132"/>
      <c r="I6" s="132"/>
    </row>
    <row r="7" spans="1:9" s="10" customFormat="1" ht="48" customHeight="1" x14ac:dyDescent="0.15">
      <c r="A7" s="15"/>
      <c r="B7" s="16"/>
      <c r="C7" s="20"/>
      <c r="D7" s="139"/>
      <c r="E7" s="111"/>
      <c r="F7" s="142"/>
      <c r="G7" s="152">
        <f>D7-E7</f>
        <v>0</v>
      </c>
      <c r="H7" s="133"/>
      <c r="I7" s="133"/>
    </row>
    <row r="8" spans="1:9" s="10" customFormat="1" ht="48" customHeight="1" x14ac:dyDescent="0.15">
      <c r="A8" s="15"/>
      <c r="B8" s="16"/>
      <c r="C8" s="20"/>
      <c r="D8" s="139"/>
      <c r="E8" s="111"/>
      <c r="F8" s="142"/>
      <c r="G8" s="152">
        <f>D8-E8</f>
        <v>0</v>
      </c>
      <c r="H8" s="133"/>
      <c r="I8" s="133"/>
    </row>
    <row r="9" spans="1:9" s="10" customFormat="1" ht="48" customHeight="1" x14ac:dyDescent="0.15">
      <c r="A9" s="15"/>
      <c r="B9" s="16"/>
      <c r="C9" s="20"/>
      <c r="D9" s="139"/>
      <c r="E9" s="111"/>
      <c r="F9" s="142"/>
      <c r="G9" s="152">
        <f>D9-E9</f>
        <v>0</v>
      </c>
      <c r="H9" s="133"/>
      <c r="I9" s="133"/>
    </row>
    <row r="10" spans="1:9" s="10" customFormat="1" ht="48" customHeight="1" x14ac:dyDescent="0.15">
      <c r="A10" s="15"/>
      <c r="B10" s="16"/>
      <c r="C10" s="20"/>
      <c r="D10" s="139"/>
      <c r="E10" s="111"/>
      <c r="F10" s="142"/>
      <c r="G10" s="152">
        <f>D10-E10</f>
        <v>0</v>
      </c>
      <c r="H10" s="133"/>
      <c r="I10" s="133"/>
    </row>
    <row r="11" spans="1:9" s="10" customFormat="1" ht="48" customHeight="1" thickBot="1" x14ac:dyDescent="0.2">
      <c r="A11" s="17"/>
      <c r="B11" s="18"/>
      <c r="C11" s="21"/>
      <c r="D11" s="140"/>
      <c r="E11" s="87"/>
      <c r="F11" s="84"/>
      <c r="G11" s="153"/>
      <c r="H11" s="134"/>
      <c r="I11" s="134"/>
    </row>
  </sheetData>
  <mergeCells count="8">
    <mergeCell ref="F1:I1"/>
    <mergeCell ref="A2:A3"/>
    <mergeCell ref="C2:C3"/>
    <mergeCell ref="D2:D3"/>
    <mergeCell ref="E2:F2"/>
    <mergeCell ref="G2:G3"/>
    <mergeCell ref="H2:H3"/>
    <mergeCell ref="I2:I3"/>
  </mergeCells>
  <phoneticPr fontId="10" type="noConversion"/>
  <pageMargins left="0.55118110236220474" right="0.47244094488188981" top="1.1417322834645669" bottom="0.62992125984251968" header="0.70866141732283472" footer="0.39370078740157483"/>
  <pageSetup paperSize="9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&amp;C1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I11"/>
  <sheetViews>
    <sheetView zoomScale="115" zoomScaleNormal="115" workbookViewId="0">
      <selection activeCell="C5" sqref="C5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29</v>
      </c>
      <c r="B1" s="22"/>
      <c r="C1" s="11"/>
      <c r="D1" s="11"/>
      <c r="E1" s="11"/>
      <c r="F1" s="596" t="s">
        <v>20</v>
      </c>
      <c r="G1" s="596"/>
      <c r="H1" s="596"/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7" t="s">
        <v>16</v>
      </c>
      <c r="D2" s="598" t="s">
        <v>40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606"/>
      <c r="B3" s="23" t="s">
        <v>21</v>
      </c>
      <c r="C3" s="606"/>
      <c r="D3" s="607"/>
      <c r="E3" s="116" t="s">
        <v>13</v>
      </c>
      <c r="F3" s="89" t="s">
        <v>52</v>
      </c>
      <c r="G3" s="606"/>
      <c r="H3" s="606"/>
      <c r="I3" s="606"/>
    </row>
    <row r="4" spans="1:9" s="10" customFormat="1" ht="42" customHeight="1" x14ac:dyDescent="0.15">
      <c r="A4" s="145" t="s">
        <v>19</v>
      </c>
      <c r="B4" s="146"/>
      <c r="C4" s="147"/>
      <c r="D4" s="148"/>
      <c r="E4" s="149">
        <f>SUM(E5:E419)</f>
        <v>0</v>
      </c>
      <c r="F4" s="150"/>
      <c r="G4" s="147"/>
      <c r="H4" s="146"/>
      <c r="I4" s="146"/>
    </row>
    <row r="5" spans="1:9" s="10" customFormat="1" ht="42" customHeight="1" x14ac:dyDescent="0.15">
      <c r="A5" s="49" t="s">
        <v>22</v>
      </c>
      <c r="B5" s="143"/>
      <c r="C5" s="46"/>
      <c r="D5" s="144"/>
      <c r="E5" s="113"/>
      <c r="F5" s="100"/>
      <c r="G5" s="46"/>
      <c r="H5" s="143"/>
      <c r="I5" s="143"/>
    </row>
    <row r="6" spans="1:9" s="10" customFormat="1" ht="48" customHeight="1" x14ac:dyDescent="0.15">
      <c r="A6" s="13"/>
      <c r="B6" s="14"/>
      <c r="C6" s="19" t="s">
        <v>12</v>
      </c>
      <c r="D6" s="138"/>
      <c r="E6" s="114"/>
      <c r="F6" s="141"/>
      <c r="G6" s="151">
        <f>D6-E6</f>
        <v>0</v>
      </c>
      <c r="H6" s="132"/>
      <c r="I6" s="132"/>
    </row>
    <row r="7" spans="1:9" s="10" customFormat="1" ht="48" customHeight="1" x14ac:dyDescent="0.15">
      <c r="A7" s="15"/>
      <c r="B7" s="16"/>
      <c r="C7" s="20"/>
      <c r="D7" s="139"/>
      <c r="E7" s="111"/>
      <c r="F7" s="142"/>
      <c r="G7" s="152">
        <f>D7-E7</f>
        <v>0</v>
      </c>
      <c r="H7" s="133"/>
      <c r="I7" s="133"/>
    </row>
    <row r="8" spans="1:9" s="10" customFormat="1" ht="48" customHeight="1" x14ac:dyDescent="0.15">
      <c r="A8" s="15"/>
      <c r="B8" s="16"/>
      <c r="C8" s="20"/>
      <c r="D8" s="139"/>
      <c r="E8" s="111"/>
      <c r="F8" s="142"/>
      <c r="G8" s="152">
        <f>D8-E8</f>
        <v>0</v>
      </c>
      <c r="H8" s="133"/>
      <c r="I8" s="133"/>
    </row>
    <row r="9" spans="1:9" s="10" customFormat="1" ht="48" customHeight="1" x14ac:dyDescent="0.15">
      <c r="A9" s="15"/>
      <c r="B9" s="16"/>
      <c r="C9" s="20"/>
      <c r="D9" s="139"/>
      <c r="E9" s="111"/>
      <c r="F9" s="142"/>
      <c r="G9" s="152">
        <f>D9-E9</f>
        <v>0</v>
      </c>
      <c r="H9" s="133"/>
      <c r="I9" s="133"/>
    </row>
    <row r="10" spans="1:9" s="10" customFormat="1" ht="48" customHeight="1" x14ac:dyDescent="0.15">
      <c r="A10" s="15"/>
      <c r="B10" s="16"/>
      <c r="C10" s="20"/>
      <c r="D10" s="139"/>
      <c r="E10" s="111"/>
      <c r="F10" s="142"/>
      <c r="G10" s="152">
        <f>D10-E10</f>
        <v>0</v>
      </c>
      <c r="H10" s="133"/>
      <c r="I10" s="133"/>
    </row>
    <row r="11" spans="1:9" s="10" customFormat="1" ht="48" customHeight="1" thickBot="1" x14ac:dyDescent="0.2">
      <c r="A11" s="17"/>
      <c r="B11" s="18"/>
      <c r="C11" s="21"/>
      <c r="D11" s="140"/>
      <c r="E11" s="87"/>
      <c r="F11" s="84"/>
      <c r="G11" s="153"/>
      <c r="H11" s="134"/>
      <c r="I11" s="134"/>
    </row>
  </sheetData>
  <mergeCells count="8">
    <mergeCell ref="F1:I1"/>
    <mergeCell ref="A2:A3"/>
    <mergeCell ref="C2:C3"/>
    <mergeCell ref="D2:D3"/>
    <mergeCell ref="E2:F2"/>
    <mergeCell ref="G2:G3"/>
    <mergeCell ref="H2:H3"/>
    <mergeCell ref="I2:I3"/>
  </mergeCells>
  <phoneticPr fontId="10" type="noConversion"/>
  <pageMargins left="0.55118110236220474" right="0.47244094488188981" top="1.1417322834645669" bottom="0.62992125984251968" header="0.70866141732283472" footer="0.39370078740157483"/>
  <pageSetup paperSize="9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&amp;C1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M59"/>
  <sheetViews>
    <sheetView view="pageBreakPreview" zoomScale="90" zoomScaleNormal="106" zoomScaleSheetLayoutView="90" workbookViewId="0">
      <selection sqref="A1:J1"/>
    </sheetView>
  </sheetViews>
  <sheetFormatPr defaultRowHeight="13.5" x14ac:dyDescent="0.15"/>
  <cols>
    <col min="1" max="1" width="12.77734375" style="3" customWidth="1"/>
    <col min="2" max="2" width="13.88671875" style="3" customWidth="1"/>
    <col min="3" max="3" width="16.109375" style="4" customWidth="1"/>
    <col min="4" max="4" width="15" style="4" customWidth="1"/>
    <col min="5" max="5" width="14.88671875" style="4" customWidth="1"/>
    <col min="6" max="6" width="17.21875" style="4" customWidth="1"/>
    <col min="7" max="7" width="12.88671875" style="4" customWidth="1"/>
    <col min="8" max="8" width="11.33203125" style="4" customWidth="1"/>
    <col min="9" max="9" width="14.88671875" style="4" customWidth="1"/>
    <col min="10" max="10" width="17.21875" style="3" customWidth="1"/>
    <col min="11" max="11" width="18.21875" style="258" customWidth="1"/>
    <col min="12" max="12" width="8.88671875" style="3"/>
    <col min="13" max="13" width="13.5546875" style="258" customWidth="1"/>
    <col min="14" max="16384" width="8.88671875" style="3"/>
  </cols>
  <sheetData>
    <row r="1" spans="1:13" s="208" customFormat="1" ht="50.25" customHeight="1" x14ac:dyDescent="0.15">
      <c r="A1" s="587" t="s">
        <v>245</v>
      </c>
      <c r="B1" s="587"/>
      <c r="C1" s="587"/>
      <c r="D1" s="587"/>
      <c r="E1" s="587"/>
      <c r="F1" s="587"/>
      <c r="G1" s="587"/>
      <c r="H1" s="587"/>
      <c r="I1" s="587"/>
      <c r="J1" s="587"/>
      <c r="K1" s="257"/>
      <c r="M1" s="257"/>
    </row>
    <row r="2" spans="1:13" ht="39" customHeight="1" thickBot="1" x14ac:dyDescent="0.2">
      <c r="F2" s="237"/>
      <c r="J2" s="234" t="s">
        <v>9</v>
      </c>
    </row>
    <row r="3" spans="1:13" ht="24.95" customHeight="1" x14ac:dyDescent="0.15">
      <c r="A3" s="613" t="s">
        <v>39</v>
      </c>
      <c r="B3" s="615" t="s">
        <v>10</v>
      </c>
      <c r="C3" s="617" t="s">
        <v>221</v>
      </c>
      <c r="D3" s="619" t="s">
        <v>189</v>
      </c>
      <c r="E3" s="621" t="s">
        <v>190</v>
      </c>
      <c r="F3" s="617" t="s">
        <v>222</v>
      </c>
      <c r="G3" s="623" t="s">
        <v>89</v>
      </c>
      <c r="H3" s="623"/>
      <c r="I3" s="624"/>
      <c r="J3" s="625" t="s">
        <v>170</v>
      </c>
    </row>
    <row r="4" spans="1:13" ht="34.5" customHeight="1" x14ac:dyDescent="0.15">
      <c r="A4" s="614"/>
      <c r="B4" s="616"/>
      <c r="C4" s="618"/>
      <c r="D4" s="620"/>
      <c r="E4" s="622"/>
      <c r="F4" s="618"/>
      <c r="G4" s="286" t="s">
        <v>86</v>
      </c>
      <c r="H4" s="286" t="s">
        <v>87</v>
      </c>
      <c r="I4" s="286" t="s">
        <v>169</v>
      </c>
      <c r="J4" s="626"/>
      <c r="K4" s="289" t="s">
        <v>187</v>
      </c>
      <c r="M4" s="289" t="s">
        <v>188</v>
      </c>
    </row>
    <row r="5" spans="1:13" ht="30" customHeight="1" x14ac:dyDescent="0.15">
      <c r="A5" s="608" t="s">
        <v>11</v>
      </c>
      <c r="B5" s="293" t="s">
        <v>19</v>
      </c>
      <c r="C5" s="424">
        <f>C6+C7+C8</f>
        <v>2822223490</v>
      </c>
      <c r="D5" s="424">
        <f>D6+D7+D8</f>
        <v>0</v>
      </c>
      <c r="E5" s="425">
        <f t="shared" ref="E5:E12" si="0">C5-D5</f>
        <v>2822223490</v>
      </c>
      <c r="F5" s="425">
        <f>F6+F7+F8</f>
        <v>2822223490</v>
      </c>
      <c r="G5" s="426">
        <f>SUM(G6:G8)</f>
        <v>-25980</v>
      </c>
      <c r="H5" s="427">
        <f t="shared" ref="H5:I5" si="1">SUM(H6:H8)</f>
        <v>0</v>
      </c>
      <c r="I5" s="427">
        <f t="shared" si="1"/>
        <v>25980</v>
      </c>
      <c r="J5" s="428">
        <f>SUM(J6:J8)</f>
        <v>2822223490</v>
      </c>
      <c r="K5" s="258" t="str">
        <f>IF(E5=J5,"O","X")</f>
        <v>O</v>
      </c>
      <c r="M5" s="258" t="str">
        <f>IF(G5=-(H5+I5),"O","X")</f>
        <v>O</v>
      </c>
    </row>
    <row r="6" spans="1:13" ht="30" customHeight="1" x14ac:dyDescent="0.15">
      <c r="A6" s="608"/>
      <c r="B6" s="294" t="s">
        <v>57</v>
      </c>
      <c r="C6" s="429">
        <f>C11+C14+C17+C9</f>
        <v>2406842002</v>
      </c>
      <c r="D6" s="429">
        <f>D9+D11+D14+D17</f>
        <v>0</v>
      </c>
      <c r="E6" s="430">
        <f t="shared" si="0"/>
        <v>2406842002</v>
      </c>
      <c r="F6" s="430">
        <f>F11+F14+F17+F9</f>
        <v>2406842002</v>
      </c>
      <c r="G6" s="431">
        <f>SUM(G9,G11,G14,G17)</f>
        <v>-25980</v>
      </c>
      <c r="H6" s="427">
        <f>SUM(H9,H11,H14,H17)</f>
        <v>0</v>
      </c>
      <c r="I6" s="427">
        <f>SUM(I9,I11,I14,I17)</f>
        <v>25980</v>
      </c>
      <c r="J6" s="432">
        <f>J11+J14+J17+J9</f>
        <v>2406842002</v>
      </c>
      <c r="K6" s="258" t="str">
        <f t="shared" ref="K6:K19" si="2">IF(E6=J6,"O","X")</f>
        <v>O</v>
      </c>
      <c r="M6" s="258" t="str">
        <f t="shared" ref="M6:M19" si="3">IF(G6=-(H6+I6),"O","X")</f>
        <v>O</v>
      </c>
    </row>
    <row r="7" spans="1:13" ht="30" customHeight="1" x14ac:dyDescent="0.15">
      <c r="A7" s="608"/>
      <c r="B7" s="294" t="s">
        <v>23</v>
      </c>
      <c r="C7" s="429">
        <f>C18</f>
        <v>229979047</v>
      </c>
      <c r="D7" s="429">
        <f>D18</f>
        <v>0</v>
      </c>
      <c r="E7" s="430">
        <f t="shared" si="0"/>
        <v>229979047</v>
      </c>
      <c r="F7" s="430">
        <f>F18</f>
        <v>229979047</v>
      </c>
      <c r="G7" s="431">
        <f>SUM(G18)</f>
        <v>0</v>
      </c>
      <c r="H7" s="427">
        <f>SUM(H18)</f>
        <v>0</v>
      </c>
      <c r="I7" s="427">
        <f>SUM(I18)</f>
        <v>0</v>
      </c>
      <c r="J7" s="432">
        <f>J18</f>
        <v>229979047</v>
      </c>
      <c r="K7" s="258" t="str">
        <f t="shared" si="2"/>
        <v>O</v>
      </c>
      <c r="M7" s="258" t="str">
        <f t="shared" si="3"/>
        <v>O</v>
      </c>
    </row>
    <row r="8" spans="1:13" ht="30" customHeight="1" x14ac:dyDescent="0.15">
      <c r="A8" s="608"/>
      <c r="B8" s="295" t="s">
        <v>58</v>
      </c>
      <c r="C8" s="433">
        <f>C12+C15+C19</f>
        <v>185402441</v>
      </c>
      <c r="D8" s="433">
        <f>D12+D15+D19</f>
        <v>0</v>
      </c>
      <c r="E8" s="434">
        <f t="shared" si="0"/>
        <v>185402441</v>
      </c>
      <c r="F8" s="434">
        <f>F12+F15+F19</f>
        <v>185402441</v>
      </c>
      <c r="G8" s="435">
        <f>SUM(G12,G15,G19)</f>
        <v>0</v>
      </c>
      <c r="H8" s="427">
        <f>SUM(H12,H15,H19)</f>
        <v>0</v>
      </c>
      <c r="I8" s="427">
        <f>SUM(I12,I15,I19)</f>
        <v>0</v>
      </c>
      <c r="J8" s="432">
        <f>J12+J15+J19</f>
        <v>185402441</v>
      </c>
      <c r="K8" s="258" t="str">
        <f t="shared" si="2"/>
        <v>O</v>
      </c>
      <c r="M8" s="258" t="str">
        <f t="shared" si="3"/>
        <v>O</v>
      </c>
    </row>
    <row r="9" spans="1:13" ht="30" customHeight="1" x14ac:dyDescent="0.15">
      <c r="A9" s="352" t="s">
        <v>35</v>
      </c>
      <c r="B9" s="287" t="s">
        <v>57</v>
      </c>
      <c r="C9" s="436">
        <f>'2026 제2회 추경'!I6</f>
        <v>3338881</v>
      </c>
      <c r="D9" s="436">
        <f>SUMIFS('1 일반회계(세입)'!$H:$H, '1 일반회계(세입)'!$A:$A,"의회운영위원회")</f>
        <v>0</v>
      </c>
      <c r="E9" s="437">
        <f t="shared" si="0"/>
        <v>3338881</v>
      </c>
      <c r="F9" s="436">
        <f>C9</f>
        <v>3338881</v>
      </c>
      <c r="G9" s="438">
        <f>SUMIFS('2 일반회계(세출)'!$H:$H, '2 일반회계(세출)'!$A:$A,"의회운영위원회", '2 일반회계(세출)'!$B:$B, "일반회계",'2 일반회계(세출)'!$H:$H,"&lt;0")</f>
        <v>0</v>
      </c>
      <c r="H9" s="439">
        <f>SUMIFS('2 일반회계(세출)'!$H:$H, '2 일반회계(세출)'!$A:$A,"의회운영위원회", '2 일반회계(세출)'!$B:$B, "일반회계",'2 일반회계(세출)'!$H:$H,"&gt;0")</f>
        <v>0</v>
      </c>
      <c r="I9" s="439">
        <f>-(G9+H9)</f>
        <v>0</v>
      </c>
      <c r="J9" s="440">
        <f>F9+G9-I9</f>
        <v>3338881</v>
      </c>
      <c r="K9" s="258" t="str">
        <f t="shared" si="2"/>
        <v>O</v>
      </c>
      <c r="M9" s="258" t="str">
        <f t="shared" si="3"/>
        <v>O</v>
      </c>
    </row>
    <row r="10" spans="1:13" ht="30" customHeight="1" x14ac:dyDescent="0.15">
      <c r="A10" s="609" t="s">
        <v>36</v>
      </c>
      <c r="B10" s="287" t="s">
        <v>61</v>
      </c>
      <c r="C10" s="436">
        <f>C11+C12</f>
        <v>588579886</v>
      </c>
      <c r="D10" s="436">
        <f>SUM(D11:D12)</f>
        <v>0</v>
      </c>
      <c r="E10" s="441">
        <f t="shared" si="0"/>
        <v>588579886</v>
      </c>
      <c r="F10" s="441">
        <f>F11+F12</f>
        <v>588579886</v>
      </c>
      <c r="G10" s="438">
        <f>G11+G12</f>
        <v>0</v>
      </c>
      <c r="H10" s="439">
        <f>H11+H12</f>
        <v>0</v>
      </c>
      <c r="I10" s="439">
        <f>I11+I12</f>
        <v>0</v>
      </c>
      <c r="J10" s="440">
        <f>SUM(J11:J12)</f>
        <v>588579886</v>
      </c>
      <c r="K10" s="258" t="str">
        <f t="shared" si="2"/>
        <v>O</v>
      </c>
      <c r="M10" s="258" t="str">
        <f t="shared" si="3"/>
        <v>O</v>
      </c>
    </row>
    <row r="11" spans="1:13" ht="30" customHeight="1" x14ac:dyDescent="0.15">
      <c r="A11" s="610"/>
      <c r="B11" s="187" t="s">
        <v>57</v>
      </c>
      <c r="C11" s="411">
        <f>'2026 제2회 추경'!I7</f>
        <v>563438298</v>
      </c>
      <c r="D11" s="411">
        <f>SUMIFS('1 일반회계(세입)'!$H:$H, '1 일반회계(세입)'!$A:$A,"재정문화위원회")</f>
        <v>0</v>
      </c>
      <c r="E11" s="412">
        <f t="shared" si="0"/>
        <v>563438298</v>
      </c>
      <c r="F11" s="411">
        <f>C11</f>
        <v>563438298</v>
      </c>
      <c r="G11" s="413">
        <f>SUMIFS('2 일반회계(세출)'!$H:$H, '2 일반회계(세출)'!$A:$A,"재정문화위원회", '2 일반회계(세출)'!$B:$B, "일반회계",'2 일반회계(세출)'!$H:$H,"&lt;0")</f>
        <v>0</v>
      </c>
      <c r="H11" s="413">
        <f>SUMIFS('2 일반회계(세출)'!$H:$H, '2 일반회계(세출)'!$A:$A,"재정문화위원회", '2 일반회계(세출)'!$B:$B, "일반회계",'2 일반회계(세출)'!$H:$H,"&gt;0")</f>
        <v>0</v>
      </c>
      <c r="I11" s="415">
        <f>-(G11+H11)</f>
        <v>0</v>
      </c>
      <c r="J11" s="416">
        <f>F11+G11+H11+I11</f>
        <v>563438298</v>
      </c>
      <c r="K11" s="258" t="str">
        <f t="shared" si="2"/>
        <v>O</v>
      </c>
      <c r="M11" s="258" t="str">
        <f t="shared" si="3"/>
        <v>O</v>
      </c>
    </row>
    <row r="12" spans="1:13" ht="30" customHeight="1" x14ac:dyDescent="0.15">
      <c r="A12" s="611"/>
      <c r="B12" s="187" t="s">
        <v>58</v>
      </c>
      <c r="C12" s="411">
        <f>'2026 제2회 추경'!J7</f>
        <v>25141588</v>
      </c>
      <c r="D12" s="411">
        <f>SUMIFS('3 기타특별회계(세입)'!$H:$H, '3 기타특별회계(세입)'!$A:$A,"재정문화위원회", '3 기타특별회계(세입)'!$B:$B, "**특별회계")</f>
        <v>0</v>
      </c>
      <c r="E12" s="412">
        <f t="shared" si="0"/>
        <v>25141588</v>
      </c>
      <c r="F12" s="411">
        <f>C12</f>
        <v>25141588</v>
      </c>
      <c r="G12" s="413">
        <f>SUMIFS('4 기타특별회계(세출)'!$H:$H, '4 기타특별회계(세출)'!$A:$A, "재정문화위원회",   '4 기타특별회계(세출)'!$B:$B, "*특별회계",  '4 기타특별회계(세출)'!$H:$H,"&lt;0")</f>
        <v>0</v>
      </c>
      <c r="H12" s="413">
        <f>SUMIFS('4 기타특별회계(세출)'!$H:$H, '4 기타특별회계(세출)'!$A:$A, "재정문화위원회",  '4 기타특별회계(세출)'!$B:$B, "*특별회계",  '4 기타특별회계(세출)'!$H:$H,"&gt;0")</f>
        <v>0</v>
      </c>
      <c r="I12" s="415">
        <f>-(G12+H12)</f>
        <v>0</v>
      </c>
      <c r="J12" s="416">
        <f>F12+G12+H12+I12</f>
        <v>25141588</v>
      </c>
      <c r="K12" s="258" t="str">
        <f t="shared" si="2"/>
        <v>O</v>
      </c>
      <c r="M12" s="258" t="str">
        <f t="shared" si="3"/>
        <v>O</v>
      </c>
    </row>
    <row r="13" spans="1:13" ht="30" customHeight="1" x14ac:dyDescent="0.15">
      <c r="A13" s="609" t="s">
        <v>37</v>
      </c>
      <c r="B13" s="287" t="s">
        <v>61</v>
      </c>
      <c r="C13" s="436">
        <f>C14+C15</f>
        <v>1479428532</v>
      </c>
      <c r="D13" s="436">
        <f>SUM(D14:D15)</f>
        <v>0</v>
      </c>
      <c r="E13" s="441">
        <f>E14+E15</f>
        <v>1479428532</v>
      </c>
      <c r="F13" s="441">
        <f>F14+F15</f>
        <v>1479428532</v>
      </c>
      <c r="G13" s="438">
        <f>G14+G15</f>
        <v>0</v>
      </c>
      <c r="H13" s="439">
        <f>H14+H15</f>
        <v>0</v>
      </c>
      <c r="I13" s="439">
        <f>I14+I15</f>
        <v>0</v>
      </c>
      <c r="J13" s="440">
        <f>SUM(J14:J15)</f>
        <v>1479428532</v>
      </c>
      <c r="K13" s="258" t="str">
        <f t="shared" si="2"/>
        <v>O</v>
      </c>
      <c r="M13" s="258" t="str">
        <f t="shared" si="3"/>
        <v>O</v>
      </c>
    </row>
    <row r="14" spans="1:13" ht="30" customHeight="1" x14ac:dyDescent="0.15">
      <c r="A14" s="610"/>
      <c r="B14" s="187" t="s">
        <v>57</v>
      </c>
      <c r="C14" s="411">
        <f>'2026 제2회 추경'!I8</f>
        <v>1458109719</v>
      </c>
      <c r="D14" s="411">
        <f>SUMIFS('1 일반회계(세입)'!$H:$H, '1 일반회계(세입)'!$A:$A,"행정복지위원회")</f>
        <v>0</v>
      </c>
      <c r="E14" s="412">
        <f t="shared" ref="E14" si="4">C14-D14</f>
        <v>1458109719</v>
      </c>
      <c r="F14" s="411">
        <f>C14</f>
        <v>1458109719</v>
      </c>
      <c r="G14" s="413">
        <f>SUMIFS('2 일반회계(세출)'!$H:$H, '2 일반회계(세출)'!$A:$A,"행정복지위원회", '2 일반회계(세출)'!$B:$B, "일반회계",'2 일반회계(세출)'!$H:$H,"&lt;0")</f>
        <v>0</v>
      </c>
      <c r="H14" s="413">
        <f>SUMIFS('2 일반회계(세출)'!$H:$H, '2 일반회계(세출)'!$A:$A,"행정복지위원회", '2 일반회계(세출)'!$B:$B, "일반회계",'2 일반회계(세출)'!$H:$H,"&gt;0")</f>
        <v>0</v>
      </c>
      <c r="I14" s="415">
        <f>-(G14+H14)</f>
        <v>0</v>
      </c>
      <c r="J14" s="416">
        <f>F14+G14+H14+I14</f>
        <v>1458109719</v>
      </c>
      <c r="K14" s="258" t="str">
        <f t="shared" si="2"/>
        <v>O</v>
      </c>
      <c r="M14" s="258" t="str">
        <f t="shared" si="3"/>
        <v>O</v>
      </c>
    </row>
    <row r="15" spans="1:13" ht="30" customHeight="1" x14ac:dyDescent="0.15">
      <c r="A15" s="610"/>
      <c r="B15" s="187" t="s">
        <v>58</v>
      </c>
      <c r="C15" s="411">
        <f>'2026 제2회 추경'!J8</f>
        <v>21318813</v>
      </c>
      <c r="D15" s="411">
        <f>SUMIFS('3 기타특별회계(세입)'!$H:$H, '3 기타특별회계(세입)'!$A:$A,"행정복지위원회", '3 기타특별회계(세입)'!$B:$B, "**특별회계")</f>
        <v>0</v>
      </c>
      <c r="E15" s="412">
        <f>C15-D15</f>
        <v>21318813</v>
      </c>
      <c r="F15" s="411">
        <f>C15</f>
        <v>21318813</v>
      </c>
      <c r="G15" s="413">
        <f>SUMIFS('4 기타특별회계(세출)'!$H:$H, '4 기타특별회계(세출)'!$A:$A, "행정복지위원회",  '4 기타특별회계(세출)'!$B:$B, "*특별회계", '4 기타특별회계(세출)'!$H:$H,"&lt;0")</f>
        <v>0</v>
      </c>
      <c r="H15" s="413">
        <f>SUMIFS('4 기타특별회계(세출)'!$H:$H, '4 기타특별회계(세출)'!$A:$A, "행정복지위원회",  '4 기타특별회계(세출)'!$B:$B, "*특별회계", '4 기타특별회계(세출)'!$H:$H,"&gt;0")</f>
        <v>0</v>
      </c>
      <c r="I15" s="415">
        <f>-(G15+H15)</f>
        <v>0</v>
      </c>
      <c r="J15" s="416">
        <f>F15+G15+H15+I15</f>
        <v>21318813</v>
      </c>
      <c r="K15" s="258" t="str">
        <f t="shared" si="2"/>
        <v>O</v>
      </c>
      <c r="M15" s="258" t="str">
        <f t="shared" si="3"/>
        <v>O</v>
      </c>
    </row>
    <row r="16" spans="1:13" ht="30" customHeight="1" x14ac:dyDescent="0.15">
      <c r="A16" s="609" t="s">
        <v>38</v>
      </c>
      <c r="B16" s="288" t="s">
        <v>61</v>
      </c>
      <c r="C16" s="436">
        <f>C17+C18+C19</f>
        <v>750876191</v>
      </c>
      <c r="D16" s="436">
        <f>SUM(D17:D19)</f>
        <v>0</v>
      </c>
      <c r="E16" s="441">
        <f>E17+E18+E19</f>
        <v>750876191</v>
      </c>
      <c r="F16" s="441">
        <f>F17+F18+F19</f>
        <v>750876191</v>
      </c>
      <c r="G16" s="438">
        <f>G17+G18+G19</f>
        <v>-25980</v>
      </c>
      <c r="H16" s="439">
        <f>H17+H18+H19</f>
        <v>0</v>
      </c>
      <c r="I16" s="439">
        <f>I17+I18+I19</f>
        <v>25980</v>
      </c>
      <c r="J16" s="440">
        <f>SUM(J17:J19)</f>
        <v>750876191</v>
      </c>
      <c r="K16" s="258" t="str">
        <f t="shared" si="2"/>
        <v>O</v>
      </c>
      <c r="M16" s="258" t="str">
        <f t="shared" si="3"/>
        <v>O</v>
      </c>
    </row>
    <row r="17" spans="1:13" ht="30" customHeight="1" x14ac:dyDescent="0.15">
      <c r="A17" s="610"/>
      <c r="B17" s="188" t="s">
        <v>57</v>
      </c>
      <c r="C17" s="417">
        <f>'2026 제2회 추경'!I9</f>
        <v>381955104</v>
      </c>
      <c r="D17" s="411">
        <f>SUMIFS('1 일반회계(세입)'!$H:$H, '1 일반회계(세입)'!$A:$A,"도시교통위원회")</f>
        <v>0</v>
      </c>
      <c r="E17" s="412">
        <f t="shared" ref="E17" si="5">C17-D17</f>
        <v>381955104</v>
      </c>
      <c r="F17" s="417">
        <f>C17</f>
        <v>381955104</v>
      </c>
      <c r="G17" s="413">
        <f>SUMIFS('2 일반회계(세출)'!$H:$H, '2 일반회계(세출)'!$A:$A,"도시교통위원회", '2 일반회계(세출)'!$B:$B, "일반회계",'2 일반회계(세출)'!$H:$H,"&lt;0")</f>
        <v>-25980</v>
      </c>
      <c r="H17" s="413">
        <f>SUMIFS('2 일반회계(세출)'!$H:$H, '2 일반회계(세출)'!$A:$A,"도시교통위원회", '2 일반회계(세출)'!$B:$B, "일반회계",'2 일반회계(세출)'!$H:$H,"&gt;0")</f>
        <v>0</v>
      </c>
      <c r="I17" s="415">
        <f>-(G17+H17)</f>
        <v>25980</v>
      </c>
      <c r="J17" s="416">
        <f>F17+G17+H17+I17</f>
        <v>381955104</v>
      </c>
      <c r="K17" s="258" t="str">
        <f t="shared" si="2"/>
        <v>O</v>
      </c>
      <c r="M17" s="258" t="str">
        <f t="shared" si="3"/>
        <v>O</v>
      </c>
    </row>
    <row r="18" spans="1:13" ht="30" customHeight="1" x14ac:dyDescent="0.15">
      <c r="A18" s="610"/>
      <c r="B18" s="188" t="s">
        <v>23</v>
      </c>
      <c r="C18" s="417">
        <f>'2026 제2회 추경'!J11</f>
        <v>229979047</v>
      </c>
      <c r="D18" s="411">
        <f>SUMIFS('5 공기업특별회계(세입)'!$H:$H, '5 공기업특별회계(세입)'!$A:$A,"도시교통위원회", '5 공기업특별회계(세입)'!$B:$B, "**특별회계")</f>
        <v>0</v>
      </c>
      <c r="E18" s="412">
        <f>C18-D18</f>
        <v>229979047</v>
      </c>
      <c r="F18" s="417">
        <f t="shared" ref="F18:F19" si="6">C18</f>
        <v>229979047</v>
      </c>
      <c r="G18" s="413">
        <f>SUMIFS('6 공기업특별회계(세출)'!$H:$H, '6 공기업특별회계(세출)'!$B:$B,"상수도특별회계",'6 공기업특별회계(세출)'!$H:$H,"&lt;0")+SUMIFS('6 공기업특별회계(세출)'!$H:$H, '6 공기업특별회계(세출)'!$B:$B,"하수도특별회계",'6 공기업특별회계(세출)'!$H:$H, "&lt;0")</f>
        <v>0</v>
      </c>
      <c r="H18" s="413">
        <f>SUMIFS('6 공기업특별회계(세출)'!$H:$H, '6 공기업특별회계(세출)'!$B:$B,"상수도특별회계",'6 공기업특별회계(세출)'!$H:$H,"&gt;0")+SUMIFS('6 공기업특별회계(세출)'!$H:$H, '6 공기업특별회계(세출)'!$B:$B,"하수도특별회계",'6 공기업특별회계(세출)'!$H:$H, "&gt;0")</f>
        <v>0</v>
      </c>
      <c r="I18" s="415">
        <f t="shared" ref="I18:I19" si="7">-(G18+H18)</f>
        <v>0</v>
      </c>
      <c r="J18" s="416">
        <f t="shared" ref="J18:J19" si="8">F18+G18+H18+I18</f>
        <v>229979047</v>
      </c>
      <c r="K18" s="258" t="str">
        <f t="shared" si="2"/>
        <v>O</v>
      </c>
      <c r="M18" s="258" t="str">
        <f t="shared" si="3"/>
        <v>O</v>
      </c>
    </row>
    <row r="19" spans="1:13" s="7" customFormat="1" ht="30" customHeight="1" thickBot="1" x14ac:dyDescent="0.2">
      <c r="A19" s="612"/>
      <c r="B19" s="236" t="s">
        <v>58</v>
      </c>
      <c r="C19" s="418">
        <f>'2026 제2회 추경'!J10</f>
        <v>138942040</v>
      </c>
      <c r="D19" s="418">
        <f>SUMIFS('3 기타특별회계(세입)'!$H:$H, '3 기타특별회계(세입)'!$A:$A,"도시교통위원회", '3 기타특별회계(세입)'!$B:$B, "**특별회계")</f>
        <v>0</v>
      </c>
      <c r="E19" s="419">
        <f>C19-D19</f>
        <v>138942040</v>
      </c>
      <c r="F19" s="418">
        <f t="shared" si="6"/>
        <v>138942040</v>
      </c>
      <c r="G19" s="420">
        <f>SUMIFS('4 기타특별회계(세출)'!$H:$H, '4 기타특별회계(세출)'!$A:$A, "도시교통위원회",  '4 기타특별회계(세출)'!$B:$B, "*특별회계", '4 기타특별회계(세출)'!$H:$H,"&lt;0")</f>
        <v>0</v>
      </c>
      <c r="H19" s="420">
        <f>SUMIFS('4 기타특별회계(세출)'!$H:$H, '4 기타특별회계(세출)'!$A:$A, "도시교통위원회",  '4 기타특별회계(세출)'!$B:$B, "*특별회계", '4 기타특별회계(세출)'!$H:$H,"&gt;0")</f>
        <v>0</v>
      </c>
      <c r="I19" s="422">
        <f t="shared" si="7"/>
        <v>0</v>
      </c>
      <c r="J19" s="423">
        <f t="shared" si="8"/>
        <v>138942040</v>
      </c>
      <c r="K19" s="258" t="str">
        <f t="shared" si="2"/>
        <v>O</v>
      </c>
      <c r="M19" s="258" t="str">
        <f t="shared" si="3"/>
        <v>O</v>
      </c>
    </row>
    <row r="20" spans="1:13" ht="16.5" x14ac:dyDescent="0.15">
      <c r="B20" s="5"/>
      <c r="C20" s="6"/>
      <c r="D20" s="6"/>
      <c r="E20" s="6"/>
      <c r="F20" s="6"/>
      <c r="G20" s="6"/>
      <c r="H20" s="6"/>
      <c r="I20" s="6"/>
      <c r="J20" s="5"/>
    </row>
    <row r="59" spans="3:13" s="7" customFormat="1" x14ac:dyDescent="0.15">
      <c r="C59" s="9"/>
      <c r="D59" s="9"/>
      <c r="E59" s="9"/>
      <c r="F59" s="9"/>
      <c r="G59" s="9"/>
      <c r="H59" s="9"/>
      <c r="I59" s="9"/>
      <c r="K59" s="259"/>
      <c r="M59" s="259"/>
    </row>
  </sheetData>
  <dataConsolidate link="1">
    <dataRefs count="1">
      <dataRef ref="H7:H15" sheet="2 일반회계(세출)"/>
    </dataRefs>
  </dataConsolidate>
  <mergeCells count="13">
    <mergeCell ref="A5:A8"/>
    <mergeCell ref="A10:A12"/>
    <mergeCell ref="A13:A15"/>
    <mergeCell ref="A16:A19"/>
    <mergeCell ref="A1:J1"/>
    <mergeCell ref="A3:A4"/>
    <mergeCell ref="B3:B4"/>
    <mergeCell ref="C3:C4"/>
    <mergeCell ref="D3:D4"/>
    <mergeCell ref="E3:E4"/>
    <mergeCell ref="F3:F4"/>
    <mergeCell ref="G3:I3"/>
    <mergeCell ref="J3:J4"/>
  </mergeCells>
  <phoneticPr fontId="10" type="noConversion"/>
  <pageMargins left="0.55118110236220474" right="0.39370078740157483" top="0.94488188976377963" bottom="0.35433070866141736" header="0" footer="0"/>
  <pageSetup paperSize="9" scale="80" firstPageNumber="2" fitToHeight="50" orientation="landscape" r:id="rId1"/>
  <headerFooter alignWithMargins="0">
    <oddHeader>&amp;L&amp;12제287회 제2차 정례회 예산결산특별위원회</oddHead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50"/>
    <pageSetUpPr fitToPage="1"/>
  </sheetPr>
  <dimension ref="A1:M48"/>
  <sheetViews>
    <sheetView view="pageBreakPreview" zoomScale="96" zoomScaleNormal="93" zoomScaleSheetLayoutView="96" workbookViewId="0">
      <selection activeCell="A2" sqref="A2"/>
    </sheetView>
  </sheetViews>
  <sheetFormatPr defaultRowHeight="13.5" x14ac:dyDescent="0.15"/>
  <cols>
    <col min="1" max="1" width="7.44140625" style="273" customWidth="1"/>
    <col min="2" max="2" width="6.77734375" style="273" customWidth="1"/>
    <col min="3" max="3" width="10" style="273" customWidth="1"/>
    <col min="4" max="4" width="12.44140625" customWidth="1"/>
    <col min="6" max="6" width="21.44140625" customWidth="1"/>
    <col min="7" max="7" width="12.44140625" style="256" customWidth="1"/>
    <col min="8" max="8" width="12.109375" style="256" customWidth="1"/>
    <col min="9" max="9" width="11.109375" customWidth="1"/>
    <col min="10" max="10" width="24.44140625" customWidth="1"/>
    <col min="11" max="11" width="12.109375" style="256" customWidth="1"/>
    <col min="12" max="12" width="11.109375" customWidth="1"/>
    <col min="13" max="13" width="15.21875" customWidth="1"/>
  </cols>
  <sheetData>
    <row r="1" spans="1:13" ht="42.75" customHeight="1" x14ac:dyDescent="0.15">
      <c r="A1" s="627" t="s">
        <v>237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</row>
    <row r="2" spans="1:13" ht="33.75" customHeight="1" thickBot="1" x14ac:dyDescent="0.2">
      <c r="A2" s="271" t="s">
        <v>90</v>
      </c>
      <c r="B2" s="271" t="s">
        <v>90</v>
      </c>
      <c r="C2" s="274"/>
      <c r="D2" s="22"/>
      <c r="E2" s="193"/>
      <c r="F2" s="11"/>
      <c r="G2" s="253"/>
      <c r="H2" s="253"/>
      <c r="I2" s="239"/>
      <c r="J2" s="239"/>
      <c r="K2" s="253"/>
      <c r="L2" s="239"/>
      <c r="M2" s="240" t="s">
        <v>20</v>
      </c>
    </row>
    <row r="3" spans="1:13" ht="35.1" customHeight="1" thickTop="1" x14ac:dyDescent="0.15">
      <c r="A3" s="628" t="s">
        <v>101</v>
      </c>
      <c r="B3" s="630" t="s">
        <v>179</v>
      </c>
      <c r="C3" s="628" t="s">
        <v>14</v>
      </c>
      <c r="D3" s="318" t="s">
        <v>15</v>
      </c>
      <c r="E3" s="631" t="s">
        <v>56</v>
      </c>
      <c r="F3" s="628" t="s">
        <v>177</v>
      </c>
      <c r="G3" s="633" t="s">
        <v>40</v>
      </c>
      <c r="H3" s="635" t="s">
        <v>83</v>
      </c>
      <c r="I3" s="635"/>
      <c r="J3" s="635"/>
      <c r="K3" s="636" t="s">
        <v>178</v>
      </c>
      <c r="L3" s="637"/>
      <c r="M3" s="638" t="s">
        <v>45</v>
      </c>
    </row>
    <row r="4" spans="1:13" ht="35.1" customHeight="1" x14ac:dyDescent="0.15">
      <c r="A4" s="629"/>
      <c r="B4" s="629"/>
      <c r="C4" s="629"/>
      <c r="D4" s="346" t="s">
        <v>55</v>
      </c>
      <c r="E4" s="632"/>
      <c r="F4" s="629"/>
      <c r="G4" s="634"/>
      <c r="H4" s="347" t="s">
        <v>13</v>
      </c>
      <c r="I4" s="348" t="s">
        <v>43</v>
      </c>
      <c r="J4" s="349" t="s">
        <v>52</v>
      </c>
      <c r="K4" s="350" t="s">
        <v>13</v>
      </c>
      <c r="L4" s="351" t="s">
        <v>43</v>
      </c>
      <c r="M4" s="639"/>
    </row>
    <row r="5" spans="1:13" ht="45" customHeight="1" x14ac:dyDescent="0.15">
      <c r="A5" s="272" t="s">
        <v>19</v>
      </c>
      <c r="B5" s="272"/>
      <c r="C5" s="272"/>
      <c r="D5" s="251"/>
      <c r="E5" s="252"/>
      <c r="F5" s="250"/>
      <c r="G5" s="382">
        <f>SUMIFS(G:G,$B:$B,"계")</f>
        <v>0</v>
      </c>
      <c r="H5" s="383">
        <f>SUMIFS(H:H,$B:$B,"계")</f>
        <v>0</v>
      </c>
      <c r="I5" s="383">
        <f>SUMIFS(I:I,$B:$B,"계")</f>
        <v>0</v>
      </c>
      <c r="J5" s="443"/>
      <c r="K5" s="367">
        <f>SUMIFS(K:K,$B:$B,"계")</f>
        <v>0</v>
      </c>
      <c r="L5" s="368">
        <f>SUMIFS(L:L,$B:$B,"계")</f>
        <v>0</v>
      </c>
      <c r="M5" s="443"/>
    </row>
    <row r="6" spans="1:13" s="328" customFormat="1" ht="45" customHeight="1" x14ac:dyDescent="0.15">
      <c r="A6" s="331" t="s">
        <v>218</v>
      </c>
      <c r="B6" s="331" t="s">
        <v>102</v>
      </c>
      <c r="C6" s="275"/>
      <c r="D6" s="321"/>
      <c r="E6" s="321"/>
      <c r="F6" s="217"/>
      <c r="G6" s="384">
        <f>SUMIFS(G:G, $A:$A,"의회운영위원회", $B:$B, "일반회계")</f>
        <v>0</v>
      </c>
      <c r="H6" s="384">
        <f>SUMIFS(H:H, $A:$A,"의회운영위원회", $B:$B, "일반회계")</f>
        <v>0</v>
      </c>
      <c r="I6" s="385">
        <f>SUMIFS(I:I, $A:$A,"의회운영위원회", $B:$B, "일반회계")</f>
        <v>0</v>
      </c>
      <c r="J6" s="444"/>
      <c r="K6" s="369">
        <f>SUMIFS(K:K, $A:$A,"의회운영위원회", $B:$B, "일반회계")</f>
        <v>0</v>
      </c>
      <c r="L6" s="370">
        <f>SUMIFS(L:L, $A:$A,"의회운영위원회", $B:$B, "일반회계")</f>
        <v>0</v>
      </c>
      <c r="M6" s="444"/>
    </row>
    <row r="7" spans="1:13" ht="45" customHeight="1" x14ac:dyDescent="0.15">
      <c r="A7" s="333" t="s">
        <v>218</v>
      </c>
      <c r="B7" s="332" t="s">
        <v>57</v>
      </c>
      <c r="C7" s="276"/>
      <c r="D7" s="228"/>
      <c r="E7" s="202"/>
      <c r="F7" s="198"/>
      <c r="G7" s="386"/>
      <c r="H7" s="387"/>
      <c r="I7" s="388">
        <f>G7+H7</f>
        <v>0</v>
      </c>
      <c r="J7" s="279" t="s">
        <v>90</v>
      </c>
      <c r="K7" s="380"/>
      <c r="L7" s="381">
        <f t="shared" ref="L7:L15" si="0">G7+K7</f>
        <v>0</v>
      </c>
      <c r="M7" s="445"/>
    </row>
    <row r="8" spans="1:13" ht="45" customHeight="1" x14ac:dyDescent="0.15">
      <c r="A8" s="333" t="s">
        <v>218</v>
      </c>
      <c r="B8" s="332" t="s">
        <v>57</v>
      </c>
      <c r="C8" s="276"/>
      <c r="D8" s="228"/>
      <c r="E8" s="202"/>
      <c r="F8" s="198"/>
      <c r="G8" s="386"/>
      <c r="H8" s="387"/>
      <c r="I8" s="388">
        <f t="shared" ref="I8:I15" si="1">G8+H8</f>
        <v>0</v>
      </c>
      <c r="J8" s="279" t="s">
        <v>90</v>
      </c>
      <c r="K8" s="380"/>
      <c r="L8" s="381">
        <f t="shared" si="0"/>
        <v>0</v>
      </c>
      <c r="M8" s="445"/>
    </row>
    <row r="9" spans="1:13" ht="45" customHeight="1" x14ac:dyDescent="0.15">
      <c r="A9" s="333" t="s">
        <v>218</v>
      </c>
      <c r="B9" s="332" t="s">
        <v>57</v>
      </c>
      <c r="C9" s="276"/>
      <c r="D9" s="228"/>
      <c r="E9" s="202"/>
      <c r="F9" s="198"/>
      <c r="G9" s="386"/>
      <c r="H9" s="387"/>
      <c r="I9" s="388">
        <f t="shared" si="1"/>
        <v>0</v>
      </c>
      <c r="J9" s="279" t="s">
        <v>90</v>
      </c>
      <c r="K9" s="380"/>
      <c r="L9" s="381">
        <f t="shared" si="0"/>
        <v>0</v>
      </c>
      <c r="M9" s="445"/>
    </row>
    <row r="10" spans="1:13" ht="45" customHeight="1" x14ac:dyDescent="0.15">
      <c r="A10" s="333" t="s">
        <v>218</v>
      </c>
      <c r="B10" s="332" t="s">
        <v>57</v>
      </c>
      <c r="C10" s="276"/>
      <c r="D10" s="228"/>
      <c r="E10" s="202"/>
      <c r="F10" s="198"/>
      <c r="G10" s="386"/>
      <c r="H10" s="387"/>
      <c r="I10" s="388">
        <f t="shared" si="1"/>
        <v>0</v>
      </c>
      <c r="J10" s="279" t="s">
        <v>90</v>
      </c>
      <c r="K10" s="380"/>
      <c r="L10" s="381">
        <f t="shared" si="0"/>
        <v>0</v>
      </c>
      <c r="M10" s="445"/>
    </row>
    <row r="11" spans="1:13" ht="45" customHeight="1" x14ac:dyDescent="0.15">
      <c r="A11" s="333" t="s">
        <v>218</v>
      </c>
      <c r="B11" s="332" t="s">
        <v>57</v>
      </c>
      <c r="C11" s="276"/>
      <c r="D11" s="228"/>
      <c r="E11" s="202"/>
      <c r="F11" s="198"/>
      <c r="G11" s="386"/>
      <c r="H11" s="387"/>
      <c r="I11" s="388">
        <f t="shared" si="1"/>
        <v>0</v>
      </c>
      <c r="J11" s="279" t="s">
        <v>90</v>
      </c>
      <c r="K11" s="380"/>
      <c r="L11" s="381">
        <f t="shared" si="0"/>
        <v>0</v>
      </c>
      <c r="M11" s="445"/>
    </row>
    <row r="12" spans="1:13" ht="45" customHeight="1" x14ac:dyDescent="0.15">
      <c r="A12" s="333" t="s">
        <v>218</v>
      </c>
      <c r="B12" s="332" t="s">
        <v>57</v>
      </c>
      <c r="C12" s="276"/>
      <c r="D12" s="228"/>
      <c r="E12" s="202"/>
      <c r="F12" s="198"/>
      <c r="G12" s="386"/>
      <c r="H12" s="387"/>
      <c r="I12" s="388">
        <f t="shared" si="1"/>
        <v>0</v>
      </c>
      <c r="J12" s="279" t="s">
        <v>90</v>
      </c>
      <c r="K12" s="380"/>
      <c r="L12" s="381">
        <f t="shared" si="0"/>
        <v>0</v>
      </c>
      <c r="M12" s="445"/>
    </row>
    <row r="13" spans="1:13" ht="45" customHeight="1" x14ac:dyDescent="0.15">
      <c r="A13" s="333" t="s">
        <v>218</v>
      </c>
      <c r="B13" s="332" t="s">
        <v>57</v>
      </c>
      <c r="C13" s="276"/>
      <c r="D13" s="228"/>
      <c r="E13" s="202"/>
      <c r="F13" s="198"/>
      <c r="G13" s="386"/>
      <c r="H13" s="387"/>
      <c r="I13" s="388">
        <f t="shared" si="1"/>
        <v>0</v>
      </c>
      <c r="J13" s="279" t="s">
        <v>90</v>
      </c>
      <c r="K13" s="380"/>
      <c r="L13" s="381">
        <f t="shared" si="0"/>
        <v>0</v>
      </c>
      <c r="M13" s="445"/>
    </row>
    <row r="14" spans="1:13" ht="45" customHeight="1" x14ac:dyDescent="0.15">
      <c r="A14" s="333" t="s">
        <v>218</v>
      </c>
      <c r="B14" s="332" t="s">
        <v>57</v>
      </c>
      <c r="C14" s="276"/>
      <c r="D14" s="228"/>
      <c r="E14" s="202"/>
      <c r="F14" s="198"/>
      <c r="G14" s="386"/>
      <c r="H14" s="387"/>
      <c r="I14" s="388">
        <f t="shared" si="1"/>
        <v>0</v>
      </c>
      <c r="J14" s="279" t="s">
        <v>90</v>
      </c>
      <c r="K14" s="380"/>
      <c r="L14" s="381">
        <f t="shared" si="0"/>
        <v>0</v>
      </c>
      <c r="M14" s="445"/>
    </row>
    <row r="15" spans="1:13" ht="45" customHeight="1" x14ac:dyDescent="0.15">
      <c r="A15" s="333" t="s">
        <v>218</v>
      </c>
      <c r="B15" s="332" t="s">
        <v>57</v>
      </c>
      <c r="C15" s="276"/>
      <c r="D15" s="228"/>
      <c r="E15" s="202"/>
      <c r="F15" s="198"/>
      <c r="G15" s="386"/>
      <c r="H15" s="387"/>
      <c r="I15" s="388">
        <f t="shared" si="1"/>
        <v>0</v>
      </c>
      <c r="J15" s="279" t="s">
        <v>90</v>
      </c>
      <c r="K15" s="380"/>
      <c r="L15" s="381">
        <f t="shared" si="0"/>
        <v>0</v>
      </c>
      <c r="M15" s="445"/>
    </row>
    <row r="16" spans="1:13" s="328" customFormat="1" ht="45" customHeight="1" x14ac:dyDescent="0.15">
      <c r="A16" s="331" t="s">
        <v>104</v>
      </c>
      <c r="B16" s="331" t="s">
        <v>102</v>
      </c>
      <c r="C16" s="275"/>
      <c r="D16" s="321"/>
      <c r="E16" s="321"/>
      <c r="F16" s="217"/>
      <c r="G16" s="384">
        <f>SUMIFS(G:G, $A:$A,"재정문화위원회", $B:$B, "일반회계")</f>
        <v>0</v>
      </c>
      <c r="H16" s="385">
        <f>SUMIFS(H:H, $A:$A,"재정문화위원회", $B:$B, "일반회계")</f>
        <v>0</v>
      </c>
      <c r="I16" s="385">
        <f>SUMIFS(I:I, $A:$A,"재정문화위원회", $B:$B, "일반회계")</f>
        <v>0</v>
      </c>
      <c r="J16" s="444"/>
      <c r="K16" s="369">
        <f>SUMIFS(K:K, $A:$A,"재정문화위원회", $B:$B, "일반회계")</f>
        <v>0</v>
      </c>
      <c r="L16" s="370">
        <f>SUMIFS(L:L, $A:$A,"재정문화위원회", $B:$B, "일반회계")</f>
        <v>0</v>
      </c>
      <c r="M16" s="444"/>
    </row>
    <row r="17" spans="1:13" ht="45" customHeight="1" x14ac:dyDescent="0.15">
      <c r="A17" s="333" t="s">
        <v>104</v>
      </c>
      <c r="B17" s="332" t="s">
        <v>57</v>
      </c>
      <c r="C17" s="276"/>
      <c r="D17" s="228"/>
      <c r="E17" s="202"/>
      <c r="F17" s="198"/>
      <c r="G17" s="386"/>
      <c r="H17" s="387"/>
      <c r="I17" s="388">
        <f>G17+H17</f>
        <v>0</v>
      </c>
      <c r="J17" s="279" t="s">
        <v>90</v>
      </c>
      <c r="K17" s="380"/>
      <c r="L17" s="381">
        <f t="shared" ref="L17:L26" si="2">G17+K17</f>
        <v>0</v>
      </c>
      <c r="M17" s="445"/>
    </row>
    <row r="18" spans="1:13" ht="45" customHeight="1" x14ac:dyDescent="0.15">
      <c r="A18" s="333" t="s">
        <v>104</v>
      </c>
      <c r="B18" s="332" t="s">
        <v>57</v>
      </c>
      <c r="C18" s="276"/>
      <c r="D18" s="228"/>
      <c r="E18" s="202"/>
      <c r="F18" s="198"/>
      <c r="G18" s="386"/>
      <c r="H18" s="387"/>
      <c r="I18" s="388">
        <f t="shared" ref="I18:I48" si="3">G18+H18</f>
        <v>0</v>
      </c>
      <c r="J18" s="279" t="s">
        <v>90</v>
      </c>
      <c r="K18" s="380"/>
      <c r="L18" s="381">
        <f t="shared" si="2"/>
        <v>0</v>
      </c>
      <c r="M18" s="445"/>
    </row>
    <row r="19" spans="1:13" ht="45" customHeight="1" x14ac:dyDescent="0.15">
      <c r="A19" s="333" t="s">
        <v>104</v>
      </c>
      <c r="B19" s="332" t="s">
        <v>57</v>
      </c>
      <c r="C19" s="276"/>
      <c r="D19" s="228"/>
      <c r="E19" s="202"/>
      <c r="F19" s="198"/>
      <c r="G19" s="386"/>
      <c r="H19" s="387"/>
      <c r="I19" s="388">
        <f t="shared" si="3"/>
        <v>0</v>
      </c>
      <c r="J19" s="279" t="s">
        <v>90</v>
      </c>
      <c r="K19" s="380"/>
      <c r="L19" s="381">
        <f t="shared" si="2"/>
        <v>0</v>
      </c>
      <c r="M19" s="445"/>
    </row>
    <row r="20" spans="1:13" ht="45" customHeight="1" x14ac:dyDescent="0.15">
      <c r="A20" s="333" t="s">
        <v>104</v>
      </c>
      <c r="B20" s="332" t="s">
        <v>57</v>
      </c>
      <c r="C20" s="276"/>
      <c r="D20" s="228"/>
      <c r="E20" s="202"/>
      <c r="F20" s="198"/>
      <c r="G20" s="386"/>
      <c r="H20" s="387"/>
      <c r="I20" s="388">
        <f t="shared" si="3"/>
        <v>0</v>
      </c>
      <c r="J20" s="279" t="s">
        <v>90</v>
      </c>
      <c r="K20" s="380"/>
      <c r="L20" s="381">
        <f t="shared" si="2"/>
        <v>0</v>
      </c>
      <c r="M20" s="445"/>
    </row>
    <row r="21" spans="1:13" ht="45" customHeight="1" x14ac:dyDescent="0.15">
      <c r="A21" s="333" t="s">
        <v>104</v>
      </c>
      <c r="B21" s="332" t="s">
        <v>57</v>
      </c>
      <c r="C21" s="276"/>
      <c r="D21" s="228"/>
      <c r="E21" s="202"/>
      <c r="F21" s="198"/>
      <c r="G21" s="386"/>
      <c r="H21" s="387"/>
      <c r="I21" s="388">
        <f t="shared" si="3"/>
        <v>0</v>
      </c>
      <c r="J21" s="279" t="s">
        <v>90</v>
      </c>
      <c r="K21" s="380"/>
      <c r="L21" s="381">
        <f t="shared" si="2"/>
        <v>0</v>
      </c>
      <c r="M21" s="445"/>
    </row>
    <row r="22" spans="1:13" ht="45" customHeight="1" x14ac:dyDescent="0.15">
      <c r="A22" s="333" t="s">
        <v>104</v>
      </c>
      <c r="B22" s="332" t="s">
        <v>57</v>
      </c>
      <c r="C22" s="276"/>
      <c r="D22" s="228"/>
      <c r="E22" s="202"/>
      <c r="F22" s="198"/>
      <c r="G22" s="386"/>
      <c r="H22" s="387"/>
      <c r="I22" s="388">
        <f t="shared" si="3"/>
        <v>0</v>
      </c>
      <c r="J22" s="279" t="s">
        <v>90</v>
      </c>
      <c r="K22" s="380"/>
      <c r="L22" s="381">
        <f t="shared" si="2"/>
        <v>0</v>
      </c>
      <c r="M22" s="445"/>
    </row>
    <row r="23" spans="1:13" ht="45" customHeight="1" x14ac:dyDescent="0.15">
      <c r="A23" s="333" t="s">
        <v>104</v>
      </c>
      <c r="B23" s="332" t="s">
        <v>57</v>
      </c>
      <c r="C23" s="276"/>
      <c r="D23" s="228"/>
      <c r="E23" s="202"/>
      <c r="F23" s="198"/>
      <c r="G23" s="386"/>
      <c r="H23" s="387"/>
      <c r="I23" s="388">
        <f t="shared" si="3"/>
        <v>0</v>
      </c>
      <c r="J23" s="279" t="s">
        <v>90</v>
      </c>
      <c r="K23" s="380"/>
      <c r="L23" s="381">
        <f t="shared" si="2"/>
        <v>0</v>
      </c>
      <c r="M23" s="445"/>
    </row>
    <row r="24" spans="1:13" ht="45" customHeight="1" x14ac:dyDescent="0.15">
      <c r="A24" s="333" t="s">
        <v>104</v>
      </c>
      <c r="B24" s="332" t="s">
        <v>57</v>
      </c>
      <c r="C24" s="276"/>
      <c r="D24" s="228"/>
      <c r="E24" s="202"/>
      <c r="F24" s="198"/>
      <c r="G24" s="386"/>
      <c r="H24" s="387"/>
      <c r="I24" s="388">
        <f t="shared" si="3"/>
        <v>0</v>
      </c>
      <c r="J24" s="279" t="s">
        <v>90</v>
      </c>
      <c r="K24" s="380"/>
      <c r="L24" s="381">
        <f t="shared" si="2"/>
        <v>0</v>
      </c>
      <c r="M24" s="445"/>
    </row>
    <row r="25" spans="1:13" ht="45" customHeight="1" x14ac:dyDescent="0.15">
      <c r="A25" s="333" t="s">
        <v>104</v>
      </c>
      <c r="B25" s="332" t="s">
        <v>57</v>
      </c>
      <c r="C25" s="276"/>
      <c r="D25" s="228"/>
      <c r="E25" s="202"/>
      <c r="F25" s="198"/>
      <c r="G25" s="386"/>
      <c r="H25" s="387"/>
      <c r="I25" s="388">
        <f t="shared" si="3"/>
        <v>0</v>
      </c>
      <c r="J25" s="279" t="s">
        <v>90</v>
      </c>
      <c r="K25" s="380"/>
      <c r="L25" s="381">
        <f t="shared" si="2"/>
        <v>0</v>
      </c>
      <c r="M25" s="445"/>
    </row>
    <row r="26" spans="1:13" ht="45" customHeight="1" x14ac:dyDescent="0.15">
      <c r="A26" s="333" t="s">
        <v>104</v>
      </c>
      <c r="B26" s="332" t="s">
        <v>57</v>
      </c>
      <c r="C26" s="276"/>
      <c r="D26" s="228"/>
      <c r="E26" s="202"/>
      <c r="F26" s="198"/>
      <c r="G26" s="386"/>
      <c r="H26" s="387"/>
      <c r="I26" s="388">
        <f t="shared" si="3"/>
        <v>0</v>
      </c>
      <c r="J26" s="279" t="s">
        <v>90</v>
      </c>
      <c r="K26" s="380"/>
      <c r="L26" s="381">
        <f t="shared" si="2"/>
        <v>0</v>
      </c>
      <c r="M26" s="445"/>
    </row>
    <row r="27" spans="1:13" s="328" customFormat="1" ht="45" customHeight="1" x14ac:dyDescent="0.15">
      <c r="A27" s="331" t="s">
        <v>105</v>
      </c>
      <c r="B27" s="320" t="s">
        <v>102</v>
      </c>
      <c r="C27" s="275"/>
      <c r="D27" s="321"/>
      <c r="E27" s="321"/>
      <c r="F27" s="217"/>
      <c r="G27" s="384">
        <f>SUMIFS(G:G, $A:$A,"행정복지위원회", $B:$B, "일반회계")</f>
        <v>0</v>
      </c>
      <c r="H27" s="385">
        <f>SUMIFS(H:H, $A:$A,"행정복지위원회", $B:$B, "일반회계")</f>
        <v>0</v>
      </c>
      <c r="I27" s="385">
        <f>SUMIFS(I:I, $A:$A,"행정복지위원회", $B:$B, "일반회계")</f>
        <v>0</v>
      </c>
      <c r="J27" s="444"/>
      <c r="K27" s="442">
        <f>SUMIFS(K:K, $A:$A,"행정복지위원회", $B:$B, "일반회계")</f>
        <v>0</v>
      </c>
      <c r="L27" s="370">
        <f>SUMIFS(L:L, $A:$A,"행정복지위원회", $B:$B, "일반회계")</f>
        <v>0</v>
      </c>
      <c r="M27" s="444"/>
    </row>
    <row r="28" spans="1:13" ht="45" customHeight="1" x14ac:dyDescent="0.15">
      <c r="A28" s="333" t="s">
        <v>105</v>
      </c>
      <c r="B28" s="332" t="s">
        <v>57</v>
      </c>
      <c r="C28" s="276"/>
      <c r="D28" s="228"/>
      <c r="E28" s="202"/>
      <c r="F28" s="198"/>
      <c r="G28" s="386"/>
      <c r="H28" s="387"/>
      <c r="I28" s="388">
        <f t="shared" si="3"/>
        <v>0</v>
      </c>
      <c r="J28" s="279" t="s">
        <v>90</v>
      </c>
      <c r="K28" s="380"/>
      <c r="L28" s="381">
        <f t="shared" ref="L28:L37" si="4">G28+K28</f>
        <v>0</v>
      </c>
      <c r="M28" s="445"/>
    </row>
    <row r="29" spans="1:13" ht="45" customHeight="1" x14ac:dyDescent="0.15">
      <c r="A29" s="333" t="s">
        <v>105</v>
      </c>
      <c r="B29" s="332" t="s">
        <v>57</v>
      </c>
      <c r="C29" s="276"/>
      <c r="D29" s="228"/>
      <c r="E29" s="202"/>
      <c r="F29" s="198"/>
      <c r="G29" s="386"/>
      <c r="H29" s="387"/>
      <c r="I29" s="388">
        <f t="shared" si="3"/>
        <v>0</v>
      </c>
      <c r="J29" s="279" t="s">
        <v>90</v>
      </c>
      <c r="K29" s="380"/>
      <c r="L29" s="381">
        <f t="shared" si="4"/>
        <v>0</v>
      </c>
      <c r="M29" s="445"/>
    </row>
    <row r="30" spans="1:13" ht="45" customHeight="1" x14ac:dyDescent="0.15">
      <c r="A30" s="333" t="s">
        <v>105</v>
      </c>
      <c r="B30" s="332" t="s">
        <v>57</v>
      </c>
      <c r="C30" s="276"/>
      <c r="D30" s="228"/>
      <c r="E30" s="202"/>
      <c r="F30" s="198"/>
      <c r="G30" s="386"/>
      <c r="H30" s="387"/>
      <c r="I30" s="388">
        <f t="shared" si="3"/>
        <v>0</v>
      </c>
      <c r="J30" s="279" t="s">
        <v>90</v>
      </c>
      <c r="K30" s="380"/>
      <c r="L30" s="381">
        <f t="shared" si="4"/>
        <v>0</v>
      </c>
      <c r="M30" s="445"/>
    </row>
    <row r="31" spans="1:13" ht="45" customHeight="1" x14ac:dyDescent="0.15">
      <c r="A31" s="333" t="s">
        <v>105</v>
      </c>
      <c r="B31" s="332" t="s">
        <v>57</v>
      </c>
      <c r="C31" s="276"/>
      <c r="D31" s="228"/>
      <c r="E31" s="202"/>
      <c r="F31" s="198"/>
      <c r="G31" s="386"/>
      <c r="H31" s="387"/>
      <c r="I31" s="388">
        <f t="shared" si="3"/>
        <v>0</v>
      </c>
      <c r="J31" s="279" t="s">
        <v>90</v>
      </c>
      <c r="K31" s="380"/>
      <c r="L31" s="381">
        <f t="shared" si="4"/>
        <v>0</v>
      </c>
      <c r="M31" s="445"/>
    </row>
    <row r="32" spans="1:13" ht="45" customHeight="1" x14ac:dyDescent="0.15">
      <c r="A32" s="333" t="s">
        <v>105</v>
      </c>
      <c r="B32" s="332" t="s">
        <v>57</v>
      </c>
      <c r="C32" s="276"/>
      <c r="D32" s="228"/>
      <c r="E32" s="202"/>
      <c r="F32" s="198"/>
      <c r="G32" s="386"/>
      <c r="H32" s="387"/>
      <c r="I32" s="388">
        <f t="shared" si="3"/>
        <v>0</v>
      </c>
      <c r="J32" s="279" t="s">
        <v>90</v>
      </c>
      <c r="K32" s="380"/>
      <c r="L32" s="381">
        <f t="shared" si="4"/>
        <v>0</v>
      </c>
      <c r="M32" s="445"/>
    </row>
    <row r="33" spans="1:13" ht="45" customHeight="1" x14ac:dyDescent="0.15">
      <c r="A33" s="333" t="s">
        <v>105</v>
      </c>
      <c r="B33" s="332" t="s">
        <v>57</v>
      </c>
      <c r="C33" s="276"/>
      <c r="D33" s="228"/>
      <c r="E33" s="202"/>
      <c r="F33" s="198"/>
      <c r="G33" s="386"/>
      <c r="H33" s="387"/>
      <c r="I33" s="388">
        <f t="shared" si="3"/>
        <v>0</v>
      </c>
      <c r="J33" s="279" t="s">
        <v>90</v>
      </c>
      <c r="K33" s="380"/>
      <c r="L33" s="381">
        <f t="shared" si="4"/>
        <v>0</v>
      </c>
      <c r="M33" s="445"/>
    </row>
    <row r="34" spans="1:13" ht="45" customHeight="1" x14ac:dyDescent="0.15">
      <c r="A34" s="333" t="s">
        <v>105</v>
      </c>
      <c r="B34" s="332" t="s">
        <v>57</v>
      </c>
      <c r="C34" s="276"/>
      <c r="D34" s="228"/>
      <c r="E34" s="202"/>
      <c r="F34" s="198"/>
      <c r="G34" s="386"/>
      <c r="H34" s="387"/>
      <c r="I34" s="388">
        <f t="shared" si="3"/>
        <v>0</v>
      </c>
      <c r="J34" s="279" t="s">
        <v>90</v>
      </c>
      <c r="K34" s="380"/>
      <c r="L34" s="381">
        <f t="shared" si="4"/>
        <v>0</v>
      </c>
      <c r="M34" s="445"/>
    </row>
    <row r="35" spans="1:13" ht="45" customHeight="1" x14ac:dyDescent="0.15">
      <c r="A35" s="333" t="s">
        <v>105</v>
      </c>
      <c r="B35" s="332" t="s">
        <v>57</v>
      </c>
      <c r="C35" s="276"/>
      <c r="D35" s="228"/>
      <c r="E35" s="202"/>
      <c r="F35" s="198"/>
      <c r="G35" s="386"/>
      <c r="H35" s="387"/>
      <c r="I35" s="388">
        <f t="shared" si="3"/>
        <v>0</v>
      </c>
      <c r="J35" s="279" t="s">
        <v>90</v>
      </c>
      <c r="K35" s="380"/>
      <c r="L35" s="381">
        <f t="shared" si="4"/>
        <v>0</v>
      </c>
      <c r="M35" s="445"/>
    </row>
    <row r="36" spans="1:13" ht="45" customHeight="1" x14ac:dyDescent="0.15">
      <c r="A36" s="333" t="s">
        <v>105</v>
      </c>
      <c r="B36" s="332" t="s">
        <v>57</v>
      </c>
      <c r="C36" s="276"/>
      <c r="D36" s="228"/>
      <c r="E36" s="202"/>
      <c r="F36" s="198"/>
      <c r="G36" s="386"/>
      <c r="H36" s="387"/>
      <c r="I36" s="388">
        <f t="shared" si="3"/>
        <v>0</v>
      </c>
      <c r="J36" s="279" t="s">
        <v>90</v>
      </c>
      <c r="K36" s="380"/>
      <c r="L36" s="381">
        <f t="shared" si="4"/>
        <v>0</v>
      </c>
      <c r="M36" s="445"/>
    </row>
    <row r="37" spans="1:13" ht="45" customHeight="1" x14ac:dyDescent="0.15">
      <c r="A37" s="333" t="s">
        <v>105</v>
      </c>
      <c r="B37" s="332" t="s">
        <v>57</v>
      </c>
      <c r="C37" s="276"/>
      <c r="D37" s="228"/>
      <c r="E37" s="202"/>
      <c r="F37" s="198"/>
      <c r="G37" s="386"/>
      <c r="H37" s="387"/>
      <c r="I37" s="388">
        <f t="shared" si="3"/>
        <v>0</v>
      </c>
      <c r="J37" s="279" t="s">
        <v>90</v>
      </c>
      <c r="K37" s="380"/>
      <c r="L37" s="381">
        <f t="shared" si="4"/>
        <v>0</v>
      </c>
      <c r="M37" s="445"/>
    </row>
    <row r="38" spans="1:13" s="328" customFormat="1" ht="45" customHeight="1" x14ac:dyDescent="0.15">
      <c r="A38" s="331" t="s">
        <v>106</v>
      </c>
      <c r="B38" s="320" t="s">
        <v>102</v>
      </c>
      <c r="C38" s="275"/>
      <c r="D38" s="321"/>
      <c r="E38" s="321"/>
      <c r="F38" s="217"/>
      <c r="G38" s="384">
        <f>SUMIFS(G:G, $A:$A,"도시교통위원회", $B:$B, "일반회계")</f>
        <v>0</v>
      </c>
      <c r="H38" s="385">
        <f>SUMIFS(H:H, $A:$A,"도시교통위원회", $B:$B, "일반회계")</f>
        <v>0</v>
      </c>
      <c r="I38" s="385">
        <f>SUMIFS(I:I, $A:$A,"도시교통위원회", $B:$B, "일반회계")</f>
        <v>0</v>
      </c>
      <c r="J38" s="444"/>
      <c r="K38" s="442">
        <f>SUMIFS(K:K, $A:$A,"도시교통위원회", $B:$B, "일반회계")</f>
        <v>0</v>
      </c>
      <c r="L38" s="370">
        <f>SUMIFS(L:L, $A:$A,"도시교통위원회", $B:$B, "일반회계")</f>
        <v>0</v>
      </c>
      <c r="M38" s="444"/>
    </row>
    <row r="39" spans="1:13" ht="45" customHeight="1" x14ac:dyDescent="0.15">
      <c r="A39" s="333" t="s">
        <v>106</v>
      </c>
      <c r="B39" s="332" t="s">
        <v>57</v>
      </c>
      <c r="C39" s="276"/>
      <c r="D39" s="228"/>
      <c r="E39" s="202"/>
      <c r="F39" s="198"/>
      <c r="G39" s="386"/>
      <c r="H39" s="387"/>
      <c r="I39" s="388">
        <f t="shared" si="3"/>
        <v>0</v>
      </c>
      <c r="J39" s="279" t="s">
        <v>90</v>
      </c>
      <c r="K39" s="380"/>
      <c r="L39" s="381">
        <f t="shared" ref="L39:L48" si="5">G39+K39</f>
        <v>0</v>
      </c>
      <c r="M39" s="445"/>
    </row>
    <row r="40" spans="1:13" ht="45" customHeight="1" x14ac:dyDescent="0.15">
      <c r="A40" s="333" t="s">
        <v>106</v>
      </c>
      <c r="B40" s="332" t="s">
        <v>57</v>
      </c>
      <c r="C40" s="276"/>
      <c r="D40" s="228"/>
      <c r="E40" s="202"/>
      <c r="F40" s="198"/>
      <c r="G40" s="386"/>
      <c r="H40" s="387"/>
      <c r="I40" s="388">
        <f t="shared" si="3"/>
        <v>0</v>
      </c>
      <c r="J40" s="279" t="s">
        <v>90</v>
      </c>
      <c r="K40" s="380"/>
      <c r="L40" s="381">
        <f t="shared" si="5"/>
        <v>0</v>
      </c>
      <c r="M40" s="445"/>
    </row>
    <row r="41" spans="1:13" ht="45" customHeight="1" x14ac:dyDescent="0.15">
      <c r="A41" s="333" t="s">
        <v>106</v>
      </c>
      <c r="B41" s="332" t="s">
        <v>57</v>
      </c>
      <c r="C41" s="276"/>
      <c r="D41" s="228"/>
      <c r="E41" s="202"/>
      <c r="F41" s="198"/>
      <c r="G41" s="386"/>
      <c r="H41" s="387"/>
      <c r="I41" s="388">
        <f t="shared" si="3"/>
        <v>0</v>
      </c>
      <c r="J41" s="279" t="s">
        <v>90</v>
      </c>
      <c r="K41" s="380"/>
      <c r="L41" s="381">
        <f t="shared" si="5"/>
        <v>0</v>
      </c>
      <c r="M41" s="445"/>
    </row>
    <row r="42" spans="1:13" ht="45" customHeight="1" x14ac:dyDescent="0.15">
      <c r="A42" s="333" t="s">
        <v>106</v>
      </c>
      <c r="B42" s="332" t="s">
        <v>57</v>
      </c>
      <c r="C42" s="276"/>
      <c r="D42" s="228"/>
      <c r="E42" s="202"/>
      <c r="F42" s="198"/>
      <c r="G42" s="386"/>
      <c r="H42" s="387"/>
      <c r="I42" s="388">
        <f t="shared" si="3"/>
        <v>0</v>
      </c>
      <c r="J42" s="279" t="s">
        <v>90</v>
      </c>
      <c r="K42" s="380"/>
      <c r="L42" s="381">
        <f t="shared" si="5"/>
        <v>0</v>
      </c>
      <c r="M42" s="445"/>
    </row>
    <row r="43" spans="1:13" ht="45" customHeight="1" x14ac:dyDescent="0.15">
      <c r="A43" s="333" t="s">
        <v>106</v>
      </c>
      <c r="B43" s="332" t="s">
        <v>57</v>
      </c>
      <c r="C43" s="276"/>
      <c r="D43" s="228"/>
      <c r="E43" s="202"/>
      <c r="F43" s="198"/>
      <c r="G43" s="386"/>
      <c r="H43" s="387"/>
      <c r="I43" s="388">
        <f t="shared" si="3"/>
        <v>0</v>
      </c>
      <c r="J43" s="279" t="s">
        <v>90</v>
      </c>
      <c r="K43" s="380"/>
      <c r="L43" s="381">
        <f t="shared" si="5"/>
        <v>0</v>
      </c>
      <c r="M43" s="445"/>
    </row>
    <row r="44" spans="1:13" ht="45" customHeight="1" x14ac:dyDescent="0.15">
      <c r="A44" s="333" t="s">
        <v>106</v>
      </c>
      <c r="B44" s="332" t="s">
        <v>57</v>
      </c>
      <c r="C44" s="276"/>
      <c r="D44" s="228"/>
      <c r="E44" s="202"/>
      <c r="F44" s="198"/>
      <c r="G44" s="386"/>
      <c r="H44" s="387"/>
      <c r="I44" s="388">
        <f t="shared" si="3"/>
        <v>0</v>
      </c>
      <c r="J44" s="279" t="s">
        <v>90</v>
      </c>
      <c r="K44" s="380"/>
      <c r="L44" s="381">
        <f t="shared" si="5"/>
        <v>0</v>
      </c>
      <c r="M44" s="445"/>
    </row>
    <row r="45" spans="1:13" ht="45" customHeight="1" x14ac:dyDescent="0.15">
      <c r="A45" s="333" t="s">
        <v>106</v>
      </c>
      <c r="B45" s="332" t="s">
        <v>57</v>
      </c>
      <c r="C45" s="276"/>
      <c r="D45" s="228"/>
      <c r="E45" s="202"/>
      <c r="F45" s="198"/>
      <c r="G45" s="386"/>
      <c r="H45" s="387"/>
      <c r="I45" s="388">
        <f t="shared" si="3"/>
        <v>0</v>
      </c>
      <c r="J45" s="279" t="s">
        <v>90</v>
      </c>
      <c r="K45" s="380"/>
      <c r="L45" s="381">
        <f t="shared" si="5"/>
        <v>0</v>
      </c>
      <c r="M45" s="445"/>
    </row>
    <row r="46" spans="1:13" ht="45" customHeight="1" x14ac:dyDescent="0.15">
      <c r="A46" s="333" t="s">
        <v>106</v>
      </c>
      <c r="B46" s="332" t="s">
        <v>57</v>
      </c>
      <c r="C46" s="276"/>
      <c r="D46" s="228"/>
      <c r="E46" s="202"/>
      <c r="F46" s="198"/>
      <c r="G46" s="386"/>
      <c r="H46" s="387"/>
      <c r="I46" s="388">
        <f t="shared" si="3"/>
        <v>0</v>
      </c>
      <c r="J46" s="279" t="s">
        <v>90</v>
      </c>
      <c r="K46" s="380"/>
      <c r="L46" s="381">
        <f t="shared" si="5"/>
        <v>0</v>
      </c>
      <c r="M46" s="445"/>
    </row>
    <row r="47" spans="1:13" ht="45" customHeight="1" x14ac:dyDescent="0.15">
      <c r="A47" s="333" t="s">
        <v>106</v>
      </c>
      <c r="B47" s="332" t="s">
        <v>57</v>
      </c>
      <c r="C47" s="276"/>
      <c r="D47" s="228"/>
      <c r="E47" s="202"/>
      <c r="F47" s="198"/>
      <c r="G47" s="386"/>
      <c r="H47" s="387"/>
      <c r="I47" s="388">
        <f t="shared" si="3"/>
        <v>0</v>
      </c>
      <c r="J47" s="279" t="s">
        <v>90</v>
      </c>
      <c r="K47" s="380"/>
      <c r="L47" s="381">
        <f t="shared" si="5"/>
        <v>0</v>
      </c>
      <c r="M47" s="445"/>
    </row>
    <row r="48" spans="1:13" ht="45" customHeight="1" x14ac:dyDescent="0.15">
      <c r="A48" s="333" t="s">
        <v>106</v>
      </c>
      <c r="B48" s="332" t="s">
        <v>57</v>
      </c>
      <c r="C48" s="276"/>
      <c r="D48" s="228"/>
      <c r="E48" s="202"/>
      <c r="F48" s="198"/>
      <c r="G48" s="386"/>
      <c r="H48" s="387"/>
      <c r="I48" s="388">
        <f t="shared" si="3"/>
        <v>0</v>
      </c>
      <c r="J48" s="279" t="s">
        <v>90</v>
      </c>
      <c r="K48" s="380"/>
      <c r="L48" s="381">
        <f t="shared" si="5"/>
        <v>0</v>
      </c>
      <c r="M48" s="445"/>
    </row>
  </sheetData>
  <autoFilter ref="A4:M48" xr:uid="{00000000-0009-0000-0000-00000A000000}"/>
  <mergeCells count="10">
    <mergeCell ref="A1:M1"/>
    <mergeCell ref="A3:A4"/>
    <mergeCell ref="B3:B4"/>
    <mergeCell ref="C3:C4"/>
    <mergeCell ref="E3:E4"/>
    <mergeCell ref="F3:F4"/>
    <mergeCell ref="G3:G4"/>
    <mergeCell ref="H3:J3"/>
    <mergeCell ref="K3:L3"/>
    <mergeCell ref="M3:M4"/>
  </mergeCells>
  <phoneticPr fontId="10" type="noConversion"/>
  <pageMargins left="0.31496062992125984" right="0.31496062992125984" top="0.74803149606299213" bottom="0.74803149606299213" header="0.31496062992125984" footer="0.31496062992125984"/>
  <pageSetup paperSize="9" scale="74" fitToHeight="5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filterMode="1">
    <tabColor rgb="FF00B050"/>
    <pageSetUpPr fitToPage="1"/>
  </sheetPr>
  <dimension ref="A1:M39"/>
  <sheetViews>
    <sheetView tabSelected="1" view="pageBreakPreview" zoomScale="96" zoomScaleNormal="93" zoomScaleSheetLayoutView="96" workbookViewId="0">
      <selection sqref="A1:M1"/>
    </sheetView>
  </sheetViews>
  <sheetFormatPr defaultRowHeight="13.5" x14ac:dyDescent="0.15"/>
  <cols>
    <col min="1" max="1" width="7.44140625" style="273" customWidth="1"/>
    <col min="2" max="2" width="6.77734375" style="273" customWidth="1"/>
    <col min="3" max="3" width="10" style="273" customWidth="1"/>
    <col min="4" max="4" width="13.44140625" customWidth="1"/>
    <col min="6" max="6" width="21.44140625" customWidth="1"/>
    <col min="7" max="7" width="12.44140625" style="256" customWidth="1"/>
    <col min="8" max="8" width="12.109375" style="256" customWidth="1"/>
    <col min="9" max="9" width="11.109375" customWidth="1"/>
    <col min="10" max="10" width="58.109375" customWidth="1"/>
    <col min="11" max="11" width="12.109375" style="256" customWidth="1"/>
    <col min="12" max="12" width="11.109375" customWidth="1"/>
    <col min="13" max="13" width="15.21875" customWidth="1"/>
    <col min="15" max="15" width="13.5546875" customWidth="1"/>
  </cols>
  <sheetData>
    <row r="1" spans="1:13" ht="42.75" customHeight="1" x14ac:dyDescent="0.15">
      <c r="A1" s="627" t="s">
        <v>246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</row>
    <row r="2" spans="1:13" ht="33.75" customHeight="1" thickBot="1" x14ac:dyDescent="0.2">
      <c r="A2" s="271" t="s">
        <v>90</v>
      </c>
      <c r="B2" s="271" t="s">
        <v>90</v>
      </c>
      <c r="C2" s="274"/>
      <c r="D2" s="22"/>
      <c r="E2" s="193"/>
      <c r="F2" s="11"/>
      <c r="G2" s="253"/>
      <c r="H2" s="253"/>
      <c r="I2" s="239"/>
      <c r="J2" s="239"/>
      <c r="K2" s="253"/>
      <c r="L2" s="239"/>
      <c r="M2" s="240" t="s">
        <v>20</v>
      </c>
    </row>
    <row r="3" spans="1:13" ht="35.1" customHeight="1" thickTop="1" x14ac:dyDescent="0.15">
      <c r="A3" s="628" t="s">
        <v>101</v>
      </c>
      <c r="B3" s="630" t="s">
        <v>179</v>
      </c>
      <c r="C3" s="628" t="s">
        <v>14</v>
      </c>
      <c r="D3" s="642" t="s">
        <v>55</v>
      </c>
      <c r="E3" s="631" t="s">
        <v>56</v>
      </c>
      <c r="F3" s="640" t="s">
        <v>243</v>
      </c>
      <c r="G3" s="633" t="s">
        <v>40</v>
      </c>
      <c r="H3" s="635" t="s">
        <v>83</v>
      </c>
      <c r="I3" s="635"/>
      <c r="J3" s="635"/>
      <c r="K3" s="636" t="s">
        <v>178</v>
      </c>
      <c r="L3" s="637"/>
      <c r="M3" s="638" t="s">
        <v>45</v>
      </c>
    </row>
    <row r="4" spans="1:13" ht="35.1" customHeight="1" x14ac:dyDescent="0.15">
      <c r="A4" s="629"/>
      <c r="B4" s="629"/>
      <c r="C4" s="629"/>
      <c r="D4" s="643"/>
      <c r="E4" s="632"/>
      <c r="F4" s="641"/>
      <c r="G4" s="634"/>
      <c r="H4" s="347" t="s">
        <v>13</v>
      </c>
      <c r="I4" s="348" t="s">
        <v>43</v>
      </c>
      <c r="J4" s="349" t="s">
        <v>52</v>
      </c>
      <c r="K4" s="350" t="s">
        <v>13</v>
      </c>
      <c r="L4" s="351" t="s">
        <v>43</v>
      </c>
      <c r="M4" s="639"/>
    </row>
    <row r="5" spans="1:13" ht="45" customHeight="1" x14ac:dyDescent="0.15">
      <c r="A5" s="272" t="s">
        <v>168</v>
      </c>
      <c r="B5" s="272"/>
      <c r="C5" s="281"/>
      <c r="D5" s="251"/>
      <c r="E5" s="251"/>
      <c r="F5" s="446"/>
      <c r="G5" s="382">
        <f>SUMIFS(G:G,$B:$B,"계")</f>
        <v>25980</v>
      </c>
      <c r="H5" s="383">
        <f>SUMIFS(H:H,$B:$B,"계")</f>
        <v>-25980</v>
      </c>
      <c r="I5" s="383">
        <f>SUMIFS(I:I,$B:$B,"계")</f>
        <v>0</v>
      </c>
      <c r="J5" s="443"/>
      <c r="K5" s="367">
        <f>SUMIFS(K:K,$B:$B,"계")</f>
        <v>0</v>
      </c>
      <c r="L5" s="368">
        <f>SUMIFS(L:L,$B:$B,"계")</f>
        <v>25980</v>
      </c>
      <c r="M5" s="443"/>
    </row>
    <row r="6" spans="1:13" s="328" customFormat="1" ht="45" hidden="1" customHeight="1" x14ac:dyDescent="0.15">
      <c r="A6" s="331" t="s">
        <v>218</v>
      </c>
      <c r="B6" s="331" t="s">
        <v>102</v>
      </c>
      <c r="C6" s="275"/>
      <c r="D6" s="321"/>
      <c r="E6" s="321"/>
      <c r="F6" s="447"/>
      <c r="G6" s="384">
        <f>SUMIFS(G:G, $A:$A,"의회운영위원회", $B:$B, "일반회계")</f>
        <v>0</v>
      </c>
      <c r="H6" s="384">
        <f>SUMIFS(H:H, $A:$A,"의회운영위원회", $B:$B, "일반회계")</f>
        <v>0</v>
      </c>
      <c r="I6" s="385">
        <f>SUMIFS(I:I, $A:$A,"의회운영위원회", $B:$B, "일반회계")</f>
        <v>0</v>
      </c>
      <c r="J6" s="444"/>
      <c r="K6" s="369">
        <f>SUMIFS(K:K, $A:$A,"의회운영위원회", $B:$B, "일반회계")</f>
        <v>0</v>
      </c>
      <c r="L6" s="370">
        <f>SUMIFS(L:L, $A:$A,"의회운영위원회", $B:$B, "일반회계")</f>
        <v>0</v>
      </c>
      <c r="M6" s="444"/>
    </row>
    <row r="7" spans="1:13" ht="45" hidden="1" customHeight="1" x14ac:dyDescent="0.15">
      <c r="A7" s="333" t="s">
        <v>218</v>
      </c>
      <c r="B7" s="332" t="s">
        <v>57</v>
      </c>
      <c r="C7" s="276"/>
      <c r="D7" s="228"/>
      <c r="E7" s="202"/>
      <c r="F7" s="207"/>
      <c r="G7" s="386"/>
      <c r="H7" s="387"/>
      <c r="I7" s="388">
        <f>G7+H7</f>
        <v>0</v>
      </c>
      <c r="J7" s="279" t="s">
        <v>90</v>
      </c>
      <c r="K7" s="380"/>
      <c r="L7" s="381">
        <f t="shared" ref="L7:L15" si="0">G7+K7</f>
        <v>0</v>
      </c>
      <c r="M7" s="445"/>
    </row>
    <row r="8" spans="1:13" ht="45" hidden="1" customHeight="1" x14ac:dyDescent="0.15">
      <c r="A8" s="333" t="s">
        <v>218</v>
      </c>
      <c r="B8" s="332" t="s">
        <v>57</v>
      </c>
      <c r="C8" s="276"/>
      <c r="D8" s="228"/>
      <c r="E8" s="202"/>
      <c r="F8" s="207"/>
      <c r="G8" s="386"/>
      <c r="H8" s="387"/>
      <c r="I8" s="388">
        <f t="shared" ref="I8:I15" si="1">G8+H8</f>
        <v>0</v>
      </c>
      <c r="J8" s="279" t="s">
        <v>90</v>
      </c>
      <c r="K8" s="380"/>
      <c r="L8" s="381">
        <f t="shared" si="0"/>
        <v>0</v>
      </c>
      <c r="M8" s="445"/>
    </row>
    <row r="9" spans="1:13" ht="45" hidden="1" customHeight="1" x14ac:dyDescent="0.15">
      <c r="A9" s="333" t="s">
        <v>218</v>
      </c>
      <c r="B9" s="332" t="s">
        <v>57</v>
      </c>
      <c r="C9" s="276"/>
      <c r="D9" s="228"/>
      <c r="E9" s="202"/>
      <c r="F9" s="207"/>
      <c r="G9" s="386"/>
      <c r="H9" s="387"/>
      <c r="I9" s="388">
        <f t="shared" si="1"/>
        <v>0</v>
      </c>
      <c r="J9" s="279" t="s">
        <v>90</v>
      </c>
      <c r="K9" s="380"/>
      <c r="L9" s="381">
        <f t="shared" si="0"/>
        <v>0</v>
      </c>
      <c r="M9" s="445"/>
    </row>
    <row r="10" spans="1:13" ht="45" hidden="1" customHeight="1" x14ac:dyDescent="0.15">
      <c r="A10" s="333" t="s">
        <v>218</v>
      </c>
      <c r="B10" s="332" t="s">
        <v>57</v>
      </c>
      <c r="C10" s="276"/>
      <c r="D10" s="228"/>
      <c r="E10" s="202"/>
      <c r="F10" s="207"/>
      <c r="G10" s="386"/>
      <c r="H10" s="387"/>
      <c r="I10" s="388">
        <f t="shared" si="1"/>
        <v>0</v>
      </c>
      <c r="J10" s="279" t="s">
        <v>90</v>
      </c>
      <c r="K10" s="380"/>
      <c r="L10" s="381">
        <f t="shared" si="0"/>
        <v>0</v>
      </c>
      <c r="M10" s="445"/>
    </row>
    <row r="11" spans="1:13" ht="45" hidden="1" customHeight="1" x14ac:dyDescent="0.15">
      <c r="A11" s="333" t="s">
        <v>218</v>
      </c>
      <c r="B11" s="332" t="s">
        <v>57</v>
      </c>
      <c r="C11" s="276"/>
      <c r="D11" s="228"/>
      <c r="E11" s="202"/>
      <c r="F11" s="207"/>
      <c r="G11" s="386"/>
      <c r="H11" s="387"/>
      <c r="I11" s="388">
        <f t="shared" si="1"/>
        <v>0</v>
      </c>
      <c r="J11" s="279" t="s">
        <v>90</v>
      </c>
      <c r="K11" s="380"/>
      <c r="L11" s="381">
        <f t="shared" si="0"/>
        <v>0</v>
      </c>
      <c r="M11" s="445"/>
    </row>
    <row r="12" spans="1:13" ht="45" hidden="1" customHeight="1" x14ac:dyDescent="0.15">
      <c r="A12" s="333" t="s">
        <v>218</v>
      </c>
      <c r="B12" s="332" t="s">
        <v>57</v>
      </c>
      <c r="C12" s="276"/>
      <c r="D12" s="228"/>
      <c r="E12" s="202"/>
      <c r="F12" s="207"/>
      <c r="G12" s="386"/>
      <c r="H12" s="387"/>
      <c r="I12" s="388">
        <f t="shared" si="1"/>
        <v>0</v>
      </c>
      <c r="J12" s="279" t="s">
        <v>90</v>
      </c>
      <c r="K12" s="380"/>
      <c r="L12" s="381">
        <f t="shared" si="0"/>
        <v>0</v>
      </c>
      <c r="M12" s="445"/>
    </row>
    <row r="13" spans="1:13" ht="45" hidden="1" customHeight="1" x14ac:dyDescent="0.15">
      <c r="A13" s="333" t="s">
        <v>218</v>
      </c>
      <c r="B13" s="332" t="s">
        <v>57</v>
      </c>
      <c r="C13" s="276"/>
      <c r="D13" s="228"/>
      <c r="E13" s="202"/>
      <c r="F13" s="207"/>
      <c r="G13" s="386"/>
      <c r="H13" s="387"/>
      <c r="I13" s="388">
        <f t="shared" si="1"/>
        <v>0</v>
      </c>
      <c r="J13" s="279" t="s">
        <v>90</v>
      </c>
      <c r="K13" s="380"/>
      <c r="L13" s="381">
        <f t="shared" si="0"/>
        <v>0</v>
      </c>
      <c r="M13" s="445"/>
    </row>
    <row r="14" spans="1:13" ht="45" hidden="1" customHeight="1" x14ac:dyDescent="0.15">
      <c r="A14" s="333" t="s">
        <v>218</v>
      </c>
      <c r="B14" s="332" t="s">
        <v>57</v>
      </c>
      <c r="C14" s="276"/>
      <c r="D14" s="228"/>
      <c r="E14" s="202"/>
      <c r="F14" s="207"/>
      <c r="G14" s="386"/>
      <c r="H14" s="387"/>
      <c r="I14" s="388">
        <f t="shared" si="1"/>
        <v>0</v>
      </c>
      <c r="J14" s="279" t="s">
        <v>90</v>
      </c>
      <c r="K14" s="380"/>
      <c r="L14" s="381">
        <f t="shared" si="0"/>
        <v>0</v>
      </c>
      <c r="M14" s="445"/>
    </row>
    <row r="15" spans="1:13" ht="45" hidden="1" customHeight="1" x14ac:dyDescent="0.15">
      <c r="A15" s="333" t="s">
        <v>218</v>
      </c>
      <c r="B15" s="332" t="s">
        <v>57</v>
      </c>
      <c r="C15" s="276"/>
      <c r="D15" s="228"/>
      <c r="E15" s="202"/>
      <c r="F15" s="207"/>
      <c r="G15" s="386"/>
      <c r="H15" s="387"/>
      <c r="I15" s="388">
        <f t="shared" si="1"/>
        <v>0</v>
      </c>
      <c r="J15" s="279" t="s">
        <v>90</v>
      </c>
      <c r="K15" s="380"/>
      <c r="L15" s="381">
        <f t="shared" si="0"/>
        <v>0</v>
      </c>
      <c r="M15" s="445"/>
    </row>
    <row r="16" spans="1:13" s="328" customFormat="1" ht="45" hidden="1" customHeight="1" x14ac:dyDescent="0.15">
      <c r="A16" s="331" t="s">
        <v>104</v>
      </c>
      <c r="B16" s="331" t="s">
        <v>102</v>
      </c>
      <c r="C16" s="275"/>
      <c r="D16" s="321"/>
      <c r="E16" s="321"/>
      <c r="F16" s="447"/>
      <c r="G16" s="384">
        <f>SUMIFS(G:G, $A:$A,"재정문화위원회", $B:$B, "일반회계")</f>
        <v>0</v>
      </c>
      <c r="H16" s="385">
        <f>SUMIFS(H:H, $A:$A,"재정문화위원회", $B:$B, "일반회계")</f>
        <v>0</v>
      </c>
      <c r="I16" s="385">
        <f>SUMIFS(I:I, $A:$A,"재정문화위원회", $B:$B, "일반회계")</f>
        <v>0</v>
      </c>
      <c r="J16" s="444"/>
      <c r="K16" s="369">
        <f>SUMIFS(K:K, $A:$A,"재정문화위원회", $B:$B, "일반회계")</f>
        <v>0</v>
      </c>
      <c r="L16" s="370">
        <f>SUMIFS(L:L, $A:$A,"재정문화위원회", $B:$B, "일반회계")</f>
        <v>0</v>
      </c>
      <c r="M16" s="444"/>
    </row>
    <row r="17" spans="1:13" ht="45" hidden="1" customHeight="1" x14ac:dyDescent="0.15">
      <c r="A17" s="333" t="s">
        <v>104</v>
      </c>
      <c r="B17" s="332" t="s">
        <v>57</v>
      </c>
      <c r="C17" s="276"/>
      <c r="D17" s="228"/>
      <c r="E17" s="202"/>
      <c r="F17" s="207"/>
      <c r="G17" s="386"/>
      <c r="H17" s="387"/>
      <c r="I17" s="388">
        <f>G17+H17</f>
        <v>0</v>
      </c>
      <c r="J17" s="279" t="s">
        <v>90</v>
      </c>
      <c r="K17" s="380"/>
      <c r="L17" s="381">
        <f t="shared" ref="L17:L26" si="2">G17+K17</f>
        <v>0</v>
      </c>
      <c r="M17" s="445"/>
    </row>
    <row r="18" spans="1:13" ht="45" hidden="1" customHeight="1" x14ac:dyDescent="0.15">
      <c r="A18" s="333" t="s">
        <v>104</v>
      </c>
      <c r="B18" s="332" t="s">
        <v>57</v>
      </c>
      <c r="C18" s="276"/>
      <c r="D18" s="228"/>
      <c r="E18" s="202"/>
      <c r="F18" s="207"/>
      <c r="G18" s="386"/>
      <c r="H18" s="387"/>
      <c r="I18" s="388">
        <f t="shared" ref="I18:I39" si="3">G18+H18</f>
        <v>0</v>
      </c>
      <c r="J18" s="279" t="s">
        <v>90</v>
      </c>
      <c r="K18" s="380"/>
      <c r="L18" s="381">
        <f t="shared" si="2"/>
        <v>0</v>
      </c>
      <c r="M18" s="445"/>
    </row>
    <row r="19" spans="1:13" ht="45" hidden="1" customHeight="1" x14ac:dyDescent="0.15">
      <c r="A19" s="333" t="s">
        <v>104</v>
      </c>
      <c r="B19" s="332" t="s">
        <v>57</v>
      </c>
      <c r="C19" s="276"/>
      <c r="D19" s="228"/>
      <c r="E19" s="202"/>
      <c r="F19" s="207"/>
      <c r="G19" s="386"/>
      <c r="H19" s="387"/>
      <c r="I19" s="388">
        <f t="shared" si="3"/>
        <v>0</v>
      </c>
      <c r="J19" s="279" t="s">
        <v>90</v>
      </c>
      <c r="K19" s="380"/>
      <c r="L19" s="381">
        <f t="shared" si="2"/>
        <v>0</v>
      </c>
      <c r="M19" s="445"/>
    </row>
    <row r="20" spans="1:13" ht="45" hidden="1" customHeight="1" x14ac:dyDescent="0.15">
      <c r="A20" s="333" t="s">
        <v>104</v>
      </c>
      <c r="B20" s="332" t="s">
        <v>57</v>
      </c>
      <c r="C20" s="276"/>
      <c r="D20" s="228"/>
      <c r="E20" s="202"/>
      <c r="F20" s="207"/>
      <c r="G20" s="386"/>
      <c r="H20" s="387"/>
      <c r="I20" s="388">
        <f t="shared" si="3"/>
        <v>0</v>
      </c>
      <c r="J20" s="279" t="s">
        <v>90</v>
      </c>
      <c r="K20" s="380"/>
      <c r="L20" s="381">
        <f t="shared" si="2"/>
        <v>0</v>
      </c>
      <c r="M20" s="445"/>
    </row>
    <row r="21" spans="1:13" ht="45" hidden="1" customHeight="1" x14ac:dyDescent="0.15">
      <c r="A21" s="333" t="s">
        <v>104</v>
      </c>
      <c r="B21" s="332" t="s">
        <v>57</v>
      </c>
      <c r="C21" s="276"/>
      <c r="D21" s="228"/>
      <c r="E21" s="202"/>
      <c r="F21" s="207"/>
      <c r="G21" s="386"/>
      <c r="H21" s="387"/>
      <c r="I21" s="388">
        <f t="shared" ref="I21" si="4">G21+H21</f>
        <v>0</v>
      </c>
      <c r="J21" s="279" t="s">
        <v>90</v>
      </c>
      <c r="K21" s="380"/>
      <c r="L21" s="381">
        <f t="shared" ref="L21" si="5">G21+K21</f>
        <v>0</v>
      </c>
      <c r="M21" s="445"/>
    </row>
    <row r="22" spans="1:13" ht="45" hidden="1" customHeight="1" x14ac:dyDescent="0.15">
      <c r="A22" s="333" t="s">
        <v>104</v>
      </c>
      <c r="B22" s="332" t="s">
        <v>57</v>
      </c>
      <c r="C22" s="276"/>
      <c r="D22" s="228"/>
      <c r="E22" s="202"/>
      <c r="F22" s="207"/>
      <c r="G22" s="386"/>
      <c r="H22" s="387"/>
      <c r="I22" s="388">
        <f t="shared" si="3"/>
        <v>0</v>
      </c>
      <c r="J22" s="279" t="s">
        <v>90</v>
      </c>
      <c r="K22" s="380"/>
      <c r="L22" s="381">
        <f t="shared" si="2"/>
        <v>0</v>
      </c>
      <c r="M22" s="445"/>
    </row>
    <row r="23" spans="1:13" ht="45" hidden="1" customHeight="1" x14ac:dyDescent="0.15">
      <c r="A23" s="333" t="s">
        <v>104</v>
      </c>
      <c r="B23" s="332" t="s">
        <v>57</v>
      </c>
      <c r="C23" s="276"/>
      <c r="D23" s="228"/>
      <c r="E23" s="202"/>
      <c r="F23" s="207"/>
      <c r="G23" s="386"/>
      <c r="H23" s="387"/>
      <c r="I23" s="388">
        <f t="shared" si="3"/>
        <v>0</v>
      </c>
      <c r="J23" s="279" t="s">
        <v>90</v>
      </c>
      <c r="K23" s="380"/>
      <c r="L23" s="381">
        <f t="shared" si="2"/>
        <v>0</v>
      </c>
      <c r="M23" s="445"/>
    </row>
    <row r="24" spans="1:13" ht="45" hidden="1" customHeight="1" x14ac:dyDescent="0.15">
      <c r="A24" s="333" t="s">
        <v>104</v>
      </c>
      <c r="B24" s="332" t="s">
        <v>57</v>
      </c>
      <c r="C24" s="276"/>
      <c r="D24" s="228"/>
      <c r="E24" s="202"/>
      <c r="F24" s="207"/>
      <c r="G24" s="386"/>
      <c r="H24" s="387"/>
      <c r="I24" s="388">
        <f t="shared" si="3"/>
        <v>0</v>
      </c>
      <c r="J24" s="279" t="s">
        <v>90</v>
      </c>
      <c r="K24" s="380"/>
      <c r="L24" s="381">
        <f t="shared" si="2"/>
        <v>0</v>
      </c>
      <c r="M24" s="445"/>
    </row>
    <row r="25" spans="1:13" ht="45" hidden="1" customHeight="1" x14ac:dyDescent="0.15">
      <c r="A25" s="333" t="s">
        <v>104</v>
      </c>
      <c r="B25" s="332" t="s">
        <v>57</v>
      </c>
      <c r="C25" s="276"/>
      <c r="D25" s="228"/>
      <c r="E25" s="202"/>
      <c r="F25" s="207"/>
      <c r="G25" s="386"/>
      <c r="H25" s="387"/>
      <c r="I25" s="388">
        <f t="shared" si="3"/>
        <v>0</v>
      </c>
      <c r="J25" s="279" t="s">
        <v>90</v>
      </c>
      <c r="K25" s="380"/>
      <c r="L25" s="381">
        <f t="shared" si="2"/>
        <v>0</v>
      </c>
      <c r="M25" s="445"/>
    </row>
    <row r="26" spans="1:13" ht="45" hidden="1" customHeight="1" x14ac:dyDescent="0.15">
      <c r="A26" s="333" t="s">
        <v>104</v>
      </c>
      <c r="B26" s="332" t="s">
        <v>57</v>
      </c>
      <c r="C26" s="276"/>
      <c r="D26" s="228"/>
      <c r="E26" s="202"/>
      <c r="F26" s="207"/>
      <c r="G26" s="386"/>
      <c r="H26" s="387"/>
      <c r="I26" s="388">
        <f t="shared" si="3"/>
        <v>0</v>
      </c>
      <c r="J26" s="279" t="s">
        <v>90</v>
      </c>
      <c r="K26" s="380"/>
      <c r="L26" s="381">
        <f t="shared" si="2"/>
        <v>0</v>
      </c>
      <c r="M26" s="445"/>
    </row>
    <row r="27" spans="1:13" s="328" customFormat="1" ht="45" hidden="1" customHeight="1" x14ac:dyDescent="0.15">
      <c r="A27" s="331" t="s">
        <v>105</v>
      </c>
      <c r="B27" s="320" t="s">
        <v>102</v>
      </c>
      <c r="C27" s="275"/>
      <c r="D27" s="321"/>
      <c r="E27" s="321"/>
      <c r="F27" s="447"/>
      <c r="G27" s="384">
        <f>SUMIFS(G:G, $A:$A,"행정복지위원회", $B:$B, "일반회계")</f>
        <v>0</v>
      </c>
      <c r="H27" s="385">
        <f>SUMIFS(H:H, $A:$A,"행정복지위원회", $B:$B, "일반회계")</f>
        <v>0</v>
      </c>
      <c r="I27" s="385">
        <f>SUMIFS(I:I, $A:$A,"행정복지위원회", $B:$B, "일반회계")</f>
        <v>0</v>
      </c>
      <c r="J27" s="444"/>
      <c r="K27" s="442">
        <f>SUMIFS(K:K, $A:$A,"행정복지위원회", $B:$B, "일반회계")</f>
        <v>0</v>
      </c>
      <c r="L27" s="370">
        <f>SUMIFS(L:L, $A:$A,"행정복지위원회", $B:$B, "일반회계")</f>
        <v>0</v>
      </c>
      <c r="M27" s="444"/>
    </row>
    <row r="28" spans="1:13" ht="45" hidden="1" customHeight="1" x14ac:dyDescent="0.15">
      <c r="A28" s="333" t="s">
        <v>105</v>
      </c>
      <c r="B28" s="332" t="s">
        <v>57</v>
      </c>
      <c r="C28" s="276"/>
      <c r="D28" s="228"/>
      <c r="E28" s="202"/>
      <c r="F28" s="207"/>
      <c r="G28" s="386"/>
      <c r="H28" s="387"/>
      <c r="I28" s="388">
        <f t="shared" si="3"/>
        <v>0</v>
      </c>
      <c r="J28" s="279" t="s">
        <v>90</v>
      </c>
      <c r="K28" s="380"/>
      <c r="L28" s="381">
        <f t="shared" ref="L28:L37" si="6">G28+K28</f>
        <v>0</v>
      </c>
      <c r="M28" s="445"/>
    </row>
    <row r="29" spans="1:13" ht="45" hidden="1" customHeight="1" x14ac:dyDescent="0.15">
      <c r="A29" s="333" t="s">
        <v>105</v>
      </c>
      <c r="B29" s="332" t="s">
        <v>57</v>
      </c>
      <c r="C29" s="276"/>
      <c r="D29" s="228"/>
      <c r="E29" s="202"/>
      <c r="F29" s="207"/>
      <c r="G29" s="386"/>
      <c r="H29" s="387"/>
      <c r="I29" s="388">
        <f t="shared" si="3"/>
        <v>0</v>
      </c>
      <c r="J29" s="279" t="s">
        <v>90</v>
      </c>
      <c r="K29" s="380"/>
      <c r="L29" s="381">
        <f t="shared" si="6"/>
        <v>0</v>
      </c>
      <c r="M29" s="445"/>
    </row>
    <row r="30" spans="1:13" ht="45" hidden="1" customHeight="1" x14ac:dyDescent="0.15">
      <c r="A30" s="333" t="s">
        <v>105</v>
      </c>
      <c r="B30" s="332" t="s">
        <v>57</v>
      </c>
      <c r="C30" s="276"/>
      <c r="D30" s="228"/>
      <c r="E30" s="202"/>
      <c r="F30" s="207"/>
      <c r="G30" s="386"/>
      <c r="H30" s="387"/>
      <c r="I30" s="388">
        <f t="shared" si="3"/>
        <v>0</v>
      </c>
      <c r="J30" s="279" t="s">
        <v>90</v>
      </c>
      <c r="K30" s="380"/>
      <c r="L30" s="381">
        <f t="shared" si="6"/>
        <v>0</v>
      </c>
      <c r="M30" s="445"/>
    </row>
    <row r="31" spans="1:13" ht="45" hidden="1" customHeight="1" x14ac:dyDescent="0.15">
      <c r="A31" s="333" t="s">
        <v>105</v>
      </c>
      <c r="B31" s="332" t="s">
        <v>57</v>
      </c>
      <c r="C31" s="276"/>
      <c r="D31" s="228"/>
      <c r="E31" s="202"/>
      <c r="F31" s="207"/>
      <c r="G31" s="386"/>
      <c r="H31" s="387"/>
      <c r="I31" s="388">
        <f t="shared" si="3"/>
        <v>0</v>
      </c>
      <c r="J31" s="279" t="s">
        <v>90</v>
      </c>
      <c r="K31" s="380"/>
      <c r="L31" s="381">
        <f t="shared" si="6"/>
        <v>0</v>
      </c>
      <c r="M31" s="445"/>
    </row>
    <row r="32" spans="1:13" ht="45" hidden="1" customHeight="1" x14ac:dyDescent="0.15">
      <c r="A32" s="333" t="s">
        <v>105</v>
      </c>
      <c r="B32" s="332" t="s">
        <v>57</v>
      </c>
      <c r="C32" s="276"/>
      <c r="D32" s="228"/>
      <c r="E32" s="202"/>
      <c r="F32" s="207"/>
      <c r="G32" s="386"/>
      <c r="H32" s="387"/>
      <c r="I32" s="388">
        <f t="shared" si="3"/>
        <v>0</v>
      </c>
      <c r="J32" s="279" t="s">
        <v>90</v>
      </c>
      <c r="K32" s="380"/>
      <c r="L32" s="381">
        <f t="shared" si="6"/>
        <v>0</v>
      </c>
      <c r="M32" s="445"/>
    </row>
    <row r="33" spans="1:13" ht="45" hidden="1" customHeight="1" x14ac:dyDescent="0.15">
      <c r="A33" s="333" t="s">
        <v>105</v>
      </c>
      <c r="B33" s="332" t="s">
        <v>57</v>
      </c>
      <c r="C33" s="276"/>
      <c r="D33" s="228"/>
      <c r="E33" s="202"/>
      <c r="F33" s="207"/>
      <c r="G33" s="386"/>
      <c r="H33" s="387"/>
      <c r="I33" s="388">
        <f t="shared" si="3"/>
        <v>0</v>
      </c>
      <c r="J33" s="279" t="s">
        <v>90</v>
      </c>
      <c r="K33" s="380"/>
      <c r="L33" s="381">
        <f t="shared" si="6"/>
        <v>0</v>
      </c>
      <c r="M33" s="445"/>
    </row>
    <row r="34" spans="1:13" ht="45" hidden="1" customHeight="1" x14ac:dyDescent="0.15">
      <c r="A34" s="333" t="s">
        <v>105</v>
      </c>
      <c r="B34" s="332" t="s">
        <v>57</v>
      </c>
      <c r="C34" s="276"/>
      <c r="D34" s="228"/>
      <c r="E34" s="202"/>
      <c r="F34" s="207"/>
      <c r="G34" s="386"/>
      <c r="H34" s="387"/>
      <c r="I34" s="388">
        <f t="shared" si="3"/>
        <v>0</v>
      </c>
      <c r="J34" s="279" t="s">
        <v>90</v>
      </c>
      <c r="K34" s="380"/>
      <c r="L34" s="381">
        <f t="shared" si="6"/>
        <v>0</v>
      </c>
      <c r="M34" s="445"/>
    </row>
    <row r="35" spans="1:13" ht="45" hidden="1" customHeight="1" x14ac:dyDescent="0.15">
      <c r="A35" s="333" t="s">
        <v>105</v>
      </c>
      <c r="B35" s="332" t="s">
        <v>57</v>
      </c>
      <c r="C35" s="276"/>
      <c r="D35" s="228"/>
      <c r="E35" s="202"/>
      <c r="F35" s="207"/>
      <c r="G35" s="386"/>
      <c r="H35" s="387"/>
      <c r="I35" s="388">
        <f t="shared" si="3"/>
        <v>0</v>
      </c>
      <c r="J35" s="279" t="s">
        <v>90</v>
      </c>
      <c r="K35" s="380"/>
      <c r="L35" s="381">
        <f t="shared" si="6"/>
        <v>0</v>
      </c>
      <c r="M35" s="445"/>
    </row>
    <row r="36" spans="1:13" ht="45" hidden="1" customHeight="1" x14ac:dyDescent="0.15">
      <c r="A36" s="333" t="s">
        <v>105</v>
      </c>
      <c r="B36" s="332" t="s">
        <v>57</v>
      </c>
      <c r="C36" s="276"/>
      <c r="D36" s="228"/>
      <c r="E36" s="202"/>
      <c r="F36" s="207"/>
      <c r="G36" s="386"/>
      <c r="H36" s="387"/>
      <c r="I36" s="388">
        <f t="shared" si="3"/>
        <v>0</v>
      </c>
      <c r="J36" s="279" t="s">
        <v>90</v>
      </c>
      <c r="K36" s="380"/>
      <c r="L36" s="381">
        <f t="shared" si="6"/>
        <v>0</v>
      </c>
      <c r="M36" s="445"/>
    </row>
    <row r="37" spans="1:13" ht="45" hidden="1" customHeight="1" x14ac:dyDescent="0.15">
      <c r="A37" s="333" t="s">
        <v>105</v>
      </c>
      <c r="B37" s="332" t="s">
        <v>57</v>
      </c>
      <c r="C37" s="276"/>
      <c r="D37" s="228"/>
      <c r="E37" s="202"/>
      <c r="F37" s="207"/>
      <c r="G37" s="386"/>
      <c r="H37" s="387"/>
      <c r="I37" s="388">
        <f t="shared" si="3"/>
        <v>0</v>
      </c>
      <c r="J37" s="279" t="s">
        <v>90</v>
      </c>
      <c r="K37" s="380"/>
      <c r="L37" s="381">
        <f t="shared" si="6"/>
        <v>0</v>
      </c>
      <c r="M37" s="445"/>
    </row>
    <row r="38" spans="1:13" s="328" customFormat="1" ht="45" customHeight="1" x14ac:dyDescent="0.15">
      <c r="A38" s="331" t="s">
        <v>106</v>
      </c>
      <c r="B38" s="320" t="s">
        <v>102</v>
      </c>
      <c r="C38" s="275"/>
      <c r="D38" s="321"/>
      <c r="E38" s="321"/>
      <c r="F38" s="447"/>
      <c r="G38" s="384">
        <f>SUMIFS(G:G, $A:$A,"도시교통위원회", $B:$B, "일반회계")</f>
        <v>25980</v>
      </c>
      <c r="H38" s="385">
        <f>SUMIFS(H:H, $A:$A,"도시교통위원회", $B:$B, "일반회계")</f>
        <v>-25980</v>
      </c>
      <c r="I38" s="385">
        <f>SUMIFS(I:I, $A:$A,"도시교통위원회", $B:$B, "일반회계")</f>
        <v>0</v>
      </c>
      <c r="J38" s="444"/>
      <c r="K38" s="442">
        <f>SUMIFS(K:K, $A:$A,"도시교통위원회", $B:$B, "일반회계")</f>
        <v>0</v>
      </c>
      <c r="L38" s="370">
        <f>SUMIFS(L:L, $A:$A,"도시교통위원회", $B:$B, "일반회계")</f>
        <v>25980</v>
      </c>
      <c r="M38" s="444"/>
    </row>
    <row r="39" spans="1:13" ht="45" customHeight="1" x14ac:dyDescent="0.15">
      <c r="A39" s="333" t="s">
        <v>106</v>
      </c>
      <c r="B39" s="332" t="s">
        <v>57</v>
      </c>
      <c r="C39" s="276" t="s">
        <v>251</v>
      </c>
      <c r="D39" s="228" t="s">
        <v>253</v>
      </c>
      <c r="E39" s="676">
        <v>589</v>
      </c>
      <c r="F39" s="207" t="s">
        <v>252</v>
      </c>
      <c r="G39" s="386">
        <v>25980</v>
      </c>
      <c r="H39" s="387">
        <v>-25980</v>
      </c>
      <c r="I39" s="388">
        <f t="shared" si="3"/>
        <v>0</v>
      </c>
      <c r="J39" s="279" t="s">
        <v>254</v>
      </c>
      <c r="K39" s="380"/>
      <c r="L39" s="381">
        <f t="shared" ref="L39" si="7">G39+K39</f>
        <v>25980</v>
      </c>
      <c r="M39" s="445"/>
    </row>
  </sheetData>
  <autoFilter ref="A4:M39" xr:uid="{00000000-0009-0000-0000-00000B000000}">
    <filterColumn colId="0">
      <filters>
        <filter val="도시교통위원회"/>
        <filter val="합계"/>
      </filters>
    </filterColumn>
  </autoFilter>
  <mergeCells count="11">
    <mergeCell ref="A1:M1"/>
    <mergeCell ref="A3:A4"/>
    <mergeCell ref="B3:B4"/>
    <mergeCell ref="C3:C4"/>
    <mergeCell ref="E3:E4"/>
    <mergeCell ref="F3:F4"/>
    <mergeCell ref="G3:G4"/>
    <mergeCell ref="M3:M4"/>
    <mergeCell ref="K3:L3"/>
    <mergeCell ref="H3:J3"/>
    <mergeCell ref="D3:D4"/>
  </mergeCells>
  <phoneticPr fontId="10" type="noConversion"/>
  <pageMargins left="0.31496062992125984" right="0.31496062992125984" top="0.74803149606299213" bottom="0.74803149606299213" header="0.31496062992125984" footer="0.31496062992125984"/>
  <pageSetup paperSize="9" scale="61" fitToHeight="50"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tabColor rgb="FF00B050"/>
  </sheetPr>
  <dimension ref="A1:K16"/>
  <sheetViews>
    <sheetView workbookViewId="0">
      <selection activeCell="I11" sqref="I11"/>
    </sheetView>
  </sheetViews>
  <sheetFormatPr defaultRowHeight="13.5" x14ac:dyDescent="0.15"/>
  <cols>
    <col min="2" max="2" width="11.21875" customWidth="1"/>
    <col min="3" max="3" width="15" style="2" customWidth="1"/>
    <col min="4" max="4" width="8" style="2" customWidth="1"/>
    <col min="5" max="5" width="16.6640625" customWidth="1"/>
    <col min="6" max="6" width="12.5546875" customWidth="1"/>
    <col min="7" max="7" width="11.6640625" customWidth="1"/>
    <col min="8" max="8" width="14.5546875" customWidth="1"/>
    <col min="9" max="9" width="13.77734375" customWidth="1"/>
    <col min="10" max="10" width="13.21875" customWidth="1"/>
  </cols>
  <sheetData>
    <row r="1" spans="1:11" s="185" customFormat="1" ht="53.25" customHeight="1" x14ac:dyDescent="0.15">
      <c r="A1"/>
      <c r="B1" s="602" t="s">
        <v>81</v>
      </c>
      <c r="C1" s="602"/>
      <c r="D1" s="602"/>
      <c r="E1" s="602"/>
      <c r="F1" s="602"/>
      <c r="G1" s="602"/>
      <c r="H1" s="602"/>
      <c r="I1" s="209"/>
    </row>
    <row r="2" spans="1:11" s="1" customFormat="1" ht="37.5" customHeight="1" x14ac:dyDescent="0.15">
      <c r="A2" s="216" t="s">
        <v>75</v>
      </c>
      <c r="B2" s="22"/>
      <c r="C2" s="22"/>
      <c r="D2" s="184"/>
      <c r="E2" s="11"/>
      <c r="F2" s="11"/>
      <c r="G2" s="11"/>
      <c r="H2" s="596"/>
      <c r="I2" s="596"/>
      <c r="J2" s="183" t="s">
        <v>20</v>
      </c>
    </row>
    <row r="3" spans="1:11" s="10" customFormat="1" ht="39" customHeight="1" x14ac:dyDescent="0.15">
      <c r="A3" s="601" t="s">
        <v>62</v>
      </c>
      <c r="B3" s="601" t="s">
        <v>14</v>
      </c>
      <c r="C3" s="212" t="s">
        <v>15</v>
      </c>
      <c r="D3" s="604" t="s">
        <v>56</v>
      </c>
      <c r="E3" s="601" t="s">
        <v>16</v>
      </c>
      <c r="F3" s="601" t="s">
        <v>40</v>
      </c>
      <c r="G3" s="603" t="s">
        <v>18</v>
      </c>
      <c r="H3" s="601"/>
      <c r="I3" s="601" t="s">
        <v>43</v>
      </c>
      <c r="J3" s="601" t="s">
        <v>45</v>
      </c>
    </row>
    <row r="4" spans="1:11" s="10" customFormat="1" ht="33" customHeight="1" x14ac:dyDescent="0.15">
      <c r="A4" s="601"/>
      <c r="B4" s="601"/>
      <c r="C4" s="211" t="s">
        <v>55</v>
      </c>
      <c r="D4" s="605"/>
      <c r="E4" s="601"/>
      <c r="F4" s="601"/>
      <c r="G4" s="210" t="s">
        <v>13</v>
      </c>
      <c r="H4" s="210" t="s">
        <v>52</v>
      </c>
      <c r="I4" s="601"/>
      <c r="J4" s="601"/>
    </row>
    <row r="5" spans="1:11" s="10" customFormat="1" ht="42.75" customHeight="1" x14ac:dyDescent="0.15">
      <c r="A5" s="213" t="s">
        <v>19</v>
      </c>
      <c r="B5" s="217"/>
      <c r="C5" s="215"/>
      <c r="D5" s="215"/>
      <c r="E5" s="214"/>
      <c r="F5" s="218">
        <f>SUM(F6:F14)</f>
        <v>0</v>
      </c>
      <c r="G5" s="218">
        <f>SUM(G6:G14)</f>
        <v>0</v>
      </c>
      <c r="H5" s="218">
        <f>SUM(H6:H14)</f>
        <v>0</v>
      </c>
      <c r="I5" s="218">
        <f>SUM(I6:I14)</f>
        <v>0</v>
      </c>
      <c r="J5" s="215"/>
    </row>
    <row r="6" spans="1:11" s="10" customFormat="1" ht="42.75" customHeight="1" x14ac:dyDescent="0.15">
      <c r="A6" s="220" t="s">
        <v>79</v>
      </c>
      <c r="B6" s="221"/>
      <c r="C6" s="222"/>
      <c r="D6" s="222"/>
      <c r="E6" s="223"/>
      <c r="F6" s="224">
        <f>SUM(F7:F14)</f>
        <v>0</v>
      </c>
      <c r="G6" s="225">
        <f>SUM(G7:G14)</f>
        <v>0</v>
      </c>
      <c r="H6" s="223"/>
      <c r="I6" s="226">
        <f>F6-G6</f>
        <v>0</v>
      </c>
      <c r="J6" s="222"/>
    </row>
    <row r="7" spans="1:11" s="10" customFormat="1" ht="42.75" customHeight="1" x14ac:dyDescent="0.15">
      <c r="A7" s="207" t="s">
        <v>78</v>
      </c>
      <c r="B7" s="219" t="s">
        <v>76</v>
      </c>
      <c r="C7" s="205"/>
      <c r="D7" s="205"/>
      <c r="E7" s="201"/>
      <c r="F7" s="206"/>
      <c r="G7" s="199"/>
      <c r="H7" s="201"/>
      <c r="I7" s="200">
        <f>F7-G7</f>
        <v>0</v>
      </c>
      <c r="J7" s="205"/>
    </row>
    <row r="8" spans="1:11" s="10" customFormat="1" ht="42.75" customHeight="1" x14ac:dyDescent="0.15">
      <c r="A8" s="207" t="s">
        <v>82</v>
      </c>
      <c r="B8" s="204"/>
      <c r="C8" s="205"/>
      <c r="D8" s="205"/>
      <c r="E8" s="201"/>
      <c r="F8" s="206"/>
      <c r="G8" s="199"/>
      <c r="H8" s="201"/>
      <c r="I8" s="200">
        <f t="shared" ref="I8:I14" si="0">F8-G8</f>
        <v>0</v>
      </c>
      <c r="J8" s="205"/>
    </row>
    <row r="9" spans="1:11" s="10" customFormat="1" ht="42.75" customHeight="1" x14ac:dyDescent="0.15">
      <c r="A9" s="207"/>
      <c r="B9" s="219" t="s">
        <v>76</v>
      </c>
      <c r="C9" s="205"/>
      <c r="D9" s="205"/>
      <c r="E9" s="201"/>
      <c r="F9" s="206"/>
      <c r="G9" s="199"/>
      <c r="H9" s="201"/>
      <c r="I9" s="200">
        <f t="shared" si="0"/>
        <v>0</v>
      </c>
      <c r="J9" s="205"/>
    </row>
    <row r="10" spans="1:11" s="10" customFormat="1" ht="42.75" customHeight="1" x14ac:dyDescent="0.15">
      <c r="A10" s="207"/>
      <c r="B10" s="204"/>
      <c r="C10" s="205"/>
      <c r="D10" s="205"/>
      <c r="E10" s="201"/>
      <c r="F10" s="206"/>
      <c r="G10" s="199"/>
      <c r="H10" s="201"/>
      <c r="I10" s="200">
        <f t="shared" si="0"/>
        <v>0</v>
      </c>
      <c r="J10" s="205"/>
    </row>
    <row r="11" spans="1:11" s="10" customFormat="1" ht="42.75" customHeight="1" x14ac:dyDescent="0.15">
      <c r="A11" s="207"/>
      <c r="B11" s="219" t="s">
        <v>76</v>
      </c>
      <c r="C11" s="205"/>
      <c r="D11" s="205"/>
      <c r="E11" s="201"/>
      <c r="F11" s="206"/>
      <c r="G11" s="199"/>
      <c r="H11" s="201"/>
      <c r="I11" s="200">
        <f>F11-G11</f>
        <v>0</v>
      </c>
      <c r="J11" s="205"/>
    </row>
    <row r="12" spans="1:11" s="10" customFormat="1" ht="42.75" customHeight="1" x14ac:dyDescent="0.15">
      <c r="A12" s="207"/>
      <c r="B12" s="219"/>
      <c r="C12" s="205"/>
      <c r="D12" s="205"/>
      <c r="E12" s="201"/>
      <c r="F12" s="206"/>
      <c r="G12" s="199"/>
      <c r="H12" s="201"/>
      <c r="I12" s="200">
        <f>F12-G12</f>
        <v>0</v>
      </c>
      <c r="J12" s="205"/>
    </row>
    <row r="13" spans="1:11" s="10" customFormat="1" ht="42.75" customHeight="1" x14ac:dyDescent="0.15">
      <c r="A13" s="207"/>
      <c r="B13" s="219" t="s">
        <v>77</v>
      </c>
      <c r="C13" s="205"/>
      <c r="D13" s="205"/>
      <c r="E13" s="201"/>
      <c r="F13" s="206"/>
      <c r="G13" s="199"/>
      <c r="H13" s="201"/>
      <c r="I13" s="200">
        <f t="shared" si="0"/>
        <v>0</v>
      </c>
      <c r="J13" s="205"/>
    </row>
    <row r="14" spans="1:11" s="10" customFormat="1" ht="42.75" customHeight="1" x14ac:dyDescent="0.15">
      <c r="A14" s="207"/>
      <c r="B14" s="204"/>
      <c r="C14" s="197"/>
      <c r="D14" s="205"/>
      <c r="E14" s="201"/>
      <c r="F14" s="206"/>
      <c r="G14" s="199"/>
      <c r="H14" s="203"/>
      <c r="I14" s="200">
        <f t="shared" si="0"/>
        <v>0</v>
      </c>
      <c r="J14" s="205"/>
    </row>
    <row r="15" spans="1:11" s="10" customFormat="1" ht="42.75" customHeight="1" x14ac:dyDescent="0.15">
      <c r="A15"/>
      <c r="B15"/>
      <c r="C15" s="2"/>
      <c r="D15" s="2"/>
      <c r="E15"/>
      <c r="F15"/>
      <c r="G15"/>
      <c r="H15"/>
      <c r="I15"/>
      <c r="J15"/>
      <c r="K15"/>
    </row>
    <row r="16" spans="1:11" s="10" customFormat="1" ht="42.75" customHeight="1" x14ac:dyDescent="0.15">
      <c r="A16"/>
      <c r="B16"/>
      <c r="C16" s="2"/>
      <c r="D16" s="2"/>
      <c r="E16"/>
      <c r="F16"/>
      <c r="G16"/>
      <c r="H16"/>
      <c r="I16"/>
      <c r="J16"/>
      <c r="K16"/>
    </row>
  </sheetData>
  <mergeCells count="10">
    <mergeCell ref="J3:J4"/>
    <mergeCell ref="B1:H1"/>
    <mergeCell ref="H2:I2"/>
    <mergeCell ref="A3:A4"/>
    <mergeCell ref="B3:B4"/>
    <mergeCell ref="D3:D4"/>
    <mergeCell ref="E3:E4"/>
    <mergeCell ref="F3:F4"/>
    <mergeCell ref="G3:H3"/>
    <mergeCell ref="I3:I4"/>
  </mergeCells>
  <phoneticPr fontId="10" type="noConversion"/>
  <dataValidations count="1">
    <dataValidation type="list" allowBlank="1" showInputMessage="1" showErrorMessage="1" sqref="A7:A19" xr:uid="{00000000-0002-0000-0C00-000000000000}">
      <formula1>"공유재산특별회계,의료급여기금특별회계,기초생활보장특별회계,폐기물처리시설특별회계"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tabColor rgb="FFFF0000"/>
  </sheetPr>
  <dimension ref="A1:I28"/>
  <sheetViews>
    <sheetView zoomScale="115" zoomScaleNormal="115" workbookViewId="0">
      <selection activeCell="E2" sqref="E2:F3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31</v>
      </c>
      <c r="B1" s="22"/>
      <c r="C1" s="11"/>
      <c r="D1" s="11"/>
      <c r="E1" s="11"/>
      <c r="F1" s="596"/>
      <c r="G1" s="596"/>
      <c r="H1" s="596" t="s">
        <v>20</v>
      </c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7" t="s">
        <v>16</v>
      </c>
      <c r="D2" s="598" t="s">
        <v>40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597"/>
      <c r="B3" s="65" t="s">
        <v>21</v>
      </c>
      <c r="C3" s="597"/>
      <c r="D3" s="597"/>
      <c r="E3" s="116" t="s">
        <v>13</v>
      </c>
      <c r="F3" s="89" t="s">
        <v>52</v>
      </c>
      <c r="G3" s="597"/>
      <c r="H3" s="597"/>
      <c r="I3" s="597"/>
    </row>
    <row r="4" spans="1:9" s="10" customFormat="1" ht="48" customHeight="1" x14ac:dyDescent="0.15">
      <c r="A4" s="62" t="s">
        <v>19</v>
      </c>
      <c r="B4" s="63"/>
      <c r="C4" s="64"/>
      <c r="D4" s="64"/>
      <c r="E4" s="107">
        <f>SUM(E6:E20)</f>
        <v>0</v>
      </c>
      <c r="F4" s="90"/>
      <c r="G4" s="64"/>
      <c r="H4" s="63"/>
      <c r="I4" s="63"/>
    </row>
    <row r="5" spans="1:9" s="10" customFormat="1" ht="48" customHeight="1" x14ac:dyDescent="0.15">
      <c r="A5" s="49"/>
      <c r="B5" s="38"/>
      <c r="C5" s="46"/>
      <c r="D5" s="46"/>
      <c r="E5" s="98"/>
      <c r="F5" s="100"/>
      <c r="G5" s="52"/>
      <c r="H5" s="50"/>
      <c r="I5" s="50"/>
    </row>
    <row r="6" spans="1:9" s="10" customFormat="1" ht="48" customHeight="1" x14ac:dyDescent="0.15">
      <c r="A6" s="13"/>
      <c r="B6" s="24"/>
      <c r="C6" s="80" t="s">
        <v>12</v>
      </c>
      <c r="D6" s="69"/>
      <c r="E6" s="110"/>
      <c r="F6" s="119"/>
      <c r="G6" s="56">
        <f>D6-E6</f>
        <v>0</v>
      </c>
      <c r="H6" s="132"/>
      <c r="I6" s="132"/>
    </row>
    <row r="7" spans="1:9" s="10" customFormat="1" ht="48" customHeight="1" x14ac:dyDescent="0.15">
      <c r="A7" s="60"/>
      <c r="B7" s="81"/>
      <c r="C7" s="73"/>
      <c r="D7" s="82"/>
      <c r="E7" s="85"/>
      <c r="F7" s="131"/>
      <c r="G7" s="57">
        <f>D7-E7</f>
        <v>0</v>
      </c>
      <c r="H7" s="133"/>
      <c r="I7" s="133"/>
    </row>
    <row r="8" spans="1:9" s="10" customFormat="1" ht="48" customHeight="1" x14ac:dyDescent="0.15">
      <c r="A8" s="60"/>
      <c r="B8" s="81"/>
      <c r="C8" s="73"/>
      <c r="D8" s="82"/>
      <c r="E8" s="85"/>
      <c r="F8" s="131"/>
      <c r="G8" s="57">
        <f>D8-E8</f>
        <v>0</v>
      </c>
      <c r="H8" s="133"/>
      <c r="I8" s="133"/>
    </row>
    <row r="9" spans="1:9" s="10" customFormat="1" ht="48" customHeight="1" x14ac:dyDescent="0.15">
      <c r="A9" s="60"/>
      <c r="B9" s="81"/>
      <c r="C9" s="73"/>
      <c r="D9" s="82"/>
      <c r="E9" s="85"/>
      <c r="F9" s="131"/>
      <c r="G9" s="57">
        <f>D9-E9</f>
        <v>0</v>
      </c>
      <c r="H9" s="133"/>
      <c r="I9" s="133"/>
    </row>
    <row r="10" spans="1:9" s="10" customFormat="1" ht="48" customHeight="1" x14ac:dyDescent="0.15">
      <c r="A10" s="15"/>
      <c r="B10" s="70"/>
      <c r="C10" s="72"/>
      <c r="D10" s="71"/>
      <c r="E10" s="86"/>
      <c r="F10" s="93"/>
      <c r="G10" s="57">
        <f>D10-E10</f>
        <v>0</v>
      </c>
      <c r="H10" s="133"/>
      <c r="I10" s="133"/>
    </row>
    <row r="11" spans="1:9" s="10" customFormat="1" ht="48" customHeight="1" thickBot="1" x14ac:dyDescent="0.2">
      <c r="A11" s="17"/>
      <c r="B11" s="122"/>
      <c r="C11" s="125"/>
      <c r="D11" s="126"/>
      <c r="E11" s="130"/>
      <c r="F11" s="123"/>
      <c r="G11" s="127"/>
      <c r="H11" s="134"/>
      <c r="I11" s="134"/>
    </row>
    <row r="12" spans="1:9" x14ac:dyDescent="0.15">
      <c r="G12" s="10"/>
    </row>
    <row r="13" spans="1:9" x14ac:dyDescent="0.15">
      <c r="G13" s="10"/>
    </row>
    <row r="14" spans="1:9" x14ac:dyDescent="0.15">
      <c r="G14" s="10"/>
    </row>
    <row r="15" spans="1:9" x14ac:dyDescent="0.15">
      <c r="G15" s="10"/>
    </row>
    <row r="16" spans="1:9" x14ac:dyDescent="0.15">
      <c r="G16" s="10"/>
    </row>
    <row r="17" spans="7:7" x14ac:dyDescent="0.15">
      <c r="G17" s="10"/>
    </row>
    <row r="18" spans="7:7" x14ac:dyDescent="0.15">
      <c r="G18" s="10"/>
    </row>
    <row r="19" spans="7:7" x14ac:dyDescent="0.15">
      <c r="G19" s="10"/>
    </row>
    <row r="20" spans="7:7" x14ac:dyDescent="0.15">
      <c r="G20" s="10"/>
    </row>
    <row r="21" spans="7:7" x14ac:dyDescent="0.15">
      <c r="G21" s="10"/>
    </row>
    <row r="22" spans="7:7" x14ac:dyDescent="0.15">
      <c r="G22" s="10"/>
    </row>
    <row r="23" spans="7:7" x14ac:dyDescent="0.15">
      <c r="G23" s="10"/>
    </row>
    <row r="24" spans="7:7" x14ac:dyDescent="0.15">
      <c r="G24" s="10"/>
    </row>
    <row r="25" spans="7:7" x14ac:dyDescent="0.15">
      <c r="G25" s="10"/>
    </row>
    <row r="26" spans="7:7" x14ac:dyDescent="0.15">
      <c r="G26" s="10"/>
    </row>
    <row r="27" spans="7:7" x14ac:dyDescent="0.15">
      <c r="G27" s="10"/>
    </row>
    <row r="28" spans="7:7" x14ac:dyDescent="0.15">
      <c r="G28" s="10"/>
    </row>
  </sheetData>
  <mergeCells count="9">
    <mergeCell ref="H2:H3"/>
    <mergeCell ref="I2:I3"/>
    <mergeCell ref="H1:I1"/>
    <mergeCell ref="F1:G1"/>
    <mergeCell ref="A2:A3"/>
    <mergeCell ref="C2:C3"/>
    <mergeCell ref="D2:D3"/>
    <mergeCell ref="E2:F2"/>
    <mergeCell ref="G2:G3"/>
  </mergeCells>
  <phoneticPr fontId="10" type="noConversion"/>
  <pageMargins left="0.55118110236220474" right="0.47244094488188981" top="1.0629921259842521" bottom="0.62992125984251968" header="0.70866141732283472" footer="0.39370078740157483"/>
  <pageSetup paperSize="9" firstPageNumber="37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I11"/>
  <sheetViews>
    <sheetView zoomScale="115" zoomScaleNormal="115" workbookViewId="0">
      <selection activeCell="A2" sqref="A2:A3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4" max="4" width="8.88671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53</v>
      </c>
      <c r="B1" s="22"/>
      <c r="C1" s="11"/>
      <c r="D1" s="11"/>
      <c r="E1" s="11"/>
      <c r="F1" s="596"/>
      <c r="G1" s="596"/>
      <c r="H1" s="596" t="s">
        <v>20</v>
      </c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8" t="s">
        <v>16</v>
      </c>
      <c r="D2" s="597" t="s">
        <v>17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597"/>
      <c r="B3" s="65" t="s">
        <v>21</v>
      </c>
      <c r="C3" s="597"/>
      <c r="D3" s="597"/>
      <c r="E3" s="116" t="s">
        <v>13</v>
      </c>
      <c r="F3" s="89" t="s">
        <v>52</v>
      </c>
      <c r="G3" s="597"/>
      <c r="H3" s="597"/>
      <c r="I3" s="597"/>
    </row>
    <row r="4" spans="1:9" s="10" customFormat="1" ht="47.1" customHeight="1" x14ac:dyDescent="0.15">
      <c r="A4" s="62" t="s">
        <v>19</v>
      </c>
      <c r="B4" s="63"/>
      <c r="C4" s="64"/>
      <c r="D4" s="64"/>
      <c r="E4" s="112">
        <f>SUM(E6:E17)</f>
        <v>0</v>
      </c>
      <c r="F4" s="90"/>
      <c r="G4" s="64"/>
      <c r="H4" s="63"/>
      <c r="I4" s="63"/>
    </row>
    <row r="5" spans="1:9" s="10" customFormat="1" ht="47.1" customHeight="1" x14ac:dyDescent="0.15">
      <c r="A5" s="49"/>
      <c r="B5" s="45"/>
      <c r="C5" s="46"/>
      <c r="D5" s="46"/>
      <c r="E5" s="113"/>
      <c r="F5" s="100"/>
      <c r="G5" s="46"/>
      <c r="H5" s="143"/>
      <c r="I5" s="143"/>
    </row>
    <row r="6" spans="1:9" s="10" customFormat="1" ht="48" customHeight="1" x14ac:dyDescent="0.15">
      <c r="A6" s="13"/>
      <c r="B6" s="24"/>
      <c r="C6" s="48" t="s">
        <v>12</v>
      </c>
      <c r="D6" s="33"/>
      <c r="E6" s="114"/>
      <c r="F6" s="119"/>
      <c r="G6" s="56">
        <f>D6-E6</f>
        <v>0</v>
      </c>
      <c r="H6" s="132"/>
      <c r="I6" s="132"/>
    </row>
    <row r="7" spans="1:9" s="10" customFormat="1" ht="48" customHeight="1" x14ac:dyDescent="0.15">
      <c r="A7" s="15"/>
      <c r="B7" s="74"/>
      <c r="C7" s="75"/>
      <c r="D7" s="76"/>
      <c r="E7" s="115"/>
      <c r="F7" s="95"/>
      <c r="G7" s="57">
        <f>D7-E7</f>
        <v>0</v>
      </c>
      <c r="H7" s="133"/>
      <c r="I7" s="133"/>
    </row>
    <row r="8" spans="1:9" s="10" customFormat="1" ht="48" customHeight="1" x14ac:dyDescent="0.15">
      <c r="A8" s="15"/>
      <c r="B8" s="74"/>
      <c r="C8" s="75"/>
      <c r="D8" s="76"/>
      <c r="E8" s="115"/>
      <c r="F8" s="95"/>
      <c r="G8" s="57">
        <f>D8-E8</f>
        <v>0</v>
      </c>
      <c r="H8" s="133"/>
      <c r="I8" s="133"/>
    </row>
    <row r="9" spans="1:9" s="10" customFormat="1" ht="48" customHeight="1" x14ac:dyDescent="0.15">
      <c r="A9" s="15"/>
      <c r="B9" s="74"/>
      <c r="C9" s="75"/>
      <c r="D9" s="137"/>
      <c r="E9" s="115"/>
      <c r="F9" s="95"/>
      <c r="G9" s="57">
        <f>D9-E9</f>
        <v>0</v>
      </c>
      <c r="H9" s="133"/>
      <c r="I9" s="133"/>
    </row>
    <row r="10" spans="1:9" s="10" customFormat="1" ht="48" customHeight="1" x14ac:dyDescent="0.15">
      <c r="A10" s="15"/>
      <c r="B10" s="26"/>
      <c r="C10" s="28"/>
      <c r="D10" s="136"/>
      <c r="E10" s="111"/>
      <c r="F10" s="94"/>
      <c r="G10" s="57">
        <f>D10-E10</f>
        <v>0</v>
      </c>
      <c r="H10" s="133"/>
      <c r="I10" s="133"/>
    </row>
    <row r="11" spans="1:9" s="10" customFormat="1" ht="48" customHeight="1" thickBot="1" x14ac:dyDescent="0.2">
      <c r="A11" s="17"/>
      <c r="B11" s="120"/>
      <c r="C11" s="121"/>
      <c r="D11" s="128"/>
      <c r="E11" s="182"/>
      <c r="F11" s="123"/>
      <c r="G11" s="129"/>
      <c r="H11" s="134"/>
      <c r="I11" s="134"/>
    </row>
  </sheetData>
  <mergeCells count="9">
    <mergeCell ref="F1:G1"/>
    <mergeCell ref="H1:I1"/>
    <mergeCell ref="A2:A3"/>
    <mergeCell ref="C2:C3"/>
    <mergeCell ref="D2:D3"/>
    <mergeCell ref="E2:F2"/>
    <mergeCell ref="G2:G3"/>
    <mergeCell ref="H2:H3"/>
    <mergeCell ref="I2:I3"/>
  </mergeCells>
  <phoneticPr fontId="10" type="noConversion"/>
  <pageMargins left="0.55118110236220474" right="0.47244094488188981" top="1.1023622047244095" bottom="0.62992125984251968" header="0.70866141732283472" footer="0.39370078740157483"/>
  <pageSetup paperSize="9" firstPageNumber="41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I11"/>
  <sheetViews>
    <sheetView zoomScale="115" zoomScaleNormal="115" workbookViewId="0">
      <selection activeCell="E3" sqref="E3:E11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4" max="4" width="8.88671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32</v>
      </c>
      <c r="B1" s="22"/>
      <c r="C1" s="11"/>
      <c r="D1" s="11"/>
      <c r="E1" s="11"/>
      <c r="F1" s="596"/>
      <c r="G1" s="596"/>
      <c r="H1" s="596" t="s">
        <v>20</v>
      </c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8" t="s">
        <v>16</v>
      </c>
      <c r="D2" s="597" t="s">
        <v>17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597"/>
      <c r="B3" s="65" t="s">
        <v>21</v>
      </c>
      <c r="C3" s="597"/>
      <c r="D3" s="597"/>
      <c r="E3" s="116" t="s">
        <v>13</v>
      </c>
      <c r="F3" s="89" t="s">
        <v>52</v>
      </c>
      <c r="G3" s="597"/>
      <c r="H3" s="597"/>
      <c r="I3" s="597"/>
    </row>
    <row r="4" spans="1:9" s="10" customFormat="1" ht="47.1" customHeight="1" x14ac:dyDescent="0.15">
      <c r="A4" s="62" t="s">
        <v>19</v>
      </c>
      <c r="B4" s="63"/>
      <c r="C4" s="64"/>
      <c r="D4" s="64"/>
      <c r="E4" s="112">
        <f>SUM(E6:E17)</f>
        <v>0</v>
      </c>
      <c r="F4" s="90"/>
      <c r="G4" s="64"/>
      <c r="H4" s="63"/>
      <c r="I4" s="63"/>
    </row>
    <row r="5" spans="1:9" s="10" customFormat="1" ht="47.1" customHeight="1" x14ac:dyDescent="0.15">
      <c r="A5" s="49"/>
      <c r="B5" s="45"/>
      <c r="C5" s="46"/>
      <c r="D5" s="46"/>
      <c r="E5" s="113"/>
      <c r="F5" s="100"/>
      <c r="G5" s="46"/>
      <c r="H5" s="50"/>
      <c r="I5" s="50"/>
    </row>
    <row r="6" spans="1:9" s="10" customFormat="1" ht="48" customHeight="1" x14ac:dyDescent="0.15">
      <c r="A6" s="13"/>
      <c r="B6" s="24"/>
      <c r="C6" s="48" t="s">
        <v>12</v>
      </c>
      <c r="D6" s="33"/>
      <c r="E6" s="114"/>
      <c r="F6" s="119"/>
      <c r="G6" s="56">
        <f>D6-E6</f>
        <v>0</v>
      </c>
      <c r="H6" s="132"/>
      <c r="I6" s="132"/>
    </row>
    <row r="7" spans="1:9" s="10" customFormat="1" ht="48" customHeight="1" x14ac:dyDescent="0.15">
      <c r="A7" s="15"/>
      <c r="B7" s="74"/>
      <c r="C7" s="75"/>
      <c r="D7" s="76"/>
      <c r="E7" s="115"/>
      <c r="F7" s="95"/>
      <c r="G7" s="57">
        <f>D7-E7</f>
        <v>0</v>
      </c>
      <c r="H7" s="133"/>
      <c r="I7" s="133"/>
    </row>
    <row r="8" spans="1:9" s="10" customFormat="1" ht="48" customHeight="1" x14ac:dyDescent="0.15">
      <c r="A8" s="15"/>
      <c r="B8" s="74"/>
      <c r="C8" s="75"/>
      <c r="D8" s="76"/>
      <c r="E8" s="115"/>
      <c r="F8" s="95"/>
      <c r="G8" s="57">
        <f>D8-E8</f>
        <v>0</v>
      </c>
      <c r="H8" s="133"/>
      <c r="I8" s="133"/>
    </row>
    <row r="9" spans="1:9" s="10" customFormat="1" ht="48" customHeight="1" x14ac:dyDescent="0.15">
      <c r="A9" s="15"/>
      <c r="B9" s="74"/>
      <c r="C9" s="75"/>
      <c r="D9" s="137"/>
      <c r="E9" s="115"/>
      <c r="F9" s="95"/>
      <c r="G9" s="57">
        <f>D9-E9</f>
        <v>0</v>
      </c>
      <c r="H9" s="133"/>
      <c r="I9" s="133"/>
    </row>
    <row r="10" spans="1:9" s="10" customFormat="1" ht="48" customHeight="1" x14ac:dyDescent="0.15">
      <c r="A10" s="15"/>
      <c r="B10" s="26"/>
      <c r="C10" s="28"/>
      <c r="D10" s="136"/>
      <c r="E10" s="111"/>
      <c r="F10" s="94"/>
      <c r="G10" s="57">
        <f>D10-E10</f>
        <v>0</v>
      </c>
      <c r="H10" s="133"/>
      <c r="I10" s="133"/>
    </row>
    <row r="11" spans="1:9" s="10" customFormat="1" ht="48" customHeight="1" thickBot="1" x14ac:dyDescent="0.2">
      <c r="A11" s="17"/>
      <c r="B11" s="120"/>
      <c r="C11" s="121"/>
      <c r="D11" s="128"/>
      <c r="E11" s="182"/>
      <c r="F11" s="123"/>
      <c r="G11" s="129"/>
      <c r="H11" s="134"/>
      <c r="I11" s="134"/>
    </row>
  </sheetData>
  <mergeCells count="9">
    <mergeCell ref="H2:H3"/>
    <mergeCell ref="I2:I3"/>
    <mergeCell ref="H1:I1"/>
    <mergeCell ref="F1:G1"/>
    <mergeCell ref="A2:A3"/>
    <mergeCell ref="C2:C3"/>
    <mergeCell ref="D2:D3"/>
    <mergeCell ref="E2:F2"/>
    <mergeCell ref="G2:G3"/>
  </mergeCells>
  <phoneticPr fontId="10" type="noConversion"/>
  <pageMargins left="0.55118110236220474" right="0.47244094488188981" top="1.1023622047244095" bottom="0.62992125984251968" header="0.70866141732283472" footer="0.39370078740157483"/>
  <pageSetup paperSize="9" firstPageNumber="41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I11"/>
  <sheetViews>
    <sheetView zoomScale="115" zoomScaleNormal="115" workbookViewId="0">
      <selection activeCell="D13" sqref="D13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4" max="4" width="8.88671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33</v>
      </c>
      <c r="B1" s="22"/>
      <c r="C1" s="11"/>
      <c r="D1" s="11"/>
      <c r="E1" s="11"/>
      <c r="F1" s="596"/>
      <c r="G1" s="596"/>
      <c r="H1" s="596" t="s">
        <v>20</v>
      </c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8" t="s">
        <v>16</v>
      </c>
      <c r="D2" s="597" t="s">
        <v>17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597"/>
      <c r="B3" s="65" t="s">
        <v>21</v>
      </c>
      <c r="C3" s="597"/>
      <c r="D3" s="597"/>
      <c r="E3" s="116" t="s">
        <v>13</v>
      </c>
      <c r="F3" s="89" t="s">
        <v>52</v>
      </c>
      <c r="G3" s="597"/>
      <c r="H3" s="597"/>
      <c r="I3" s="597"/>
    </row>
    <row r="4" spans="1:9" s="10" customFormat="1" ht="47.1" customHeight="1" x14ac:dyDescent="0.15">
      <c r="A4" s="62" t="s">
        <v>19</v>
      </c>
      <c r="B4" s="63"/>
      <c r="C4" s="64"/>
      <c r="D4" s="64"/>
      <c r="E4" s="112">
        <f>SUM(E6:E17)</f>
        <v>0</v>
      </c>
      <c r="F4" s="90"/>
      <c r="G4" s="64"/>
      <c r="H4" s="63"/>
      <c r="I4" s="63"/>
    </row>
    <row r="5" spans="1:9" s="10" customFormat="1" ht="47.1" customHeight="1" x14ac:dyDescent="0.15">
      <c r="A5" s="49"/>
      <c r="B5" s="45"/>
      <c r="C5" s="46"/>
      <c r="D5" s="46"/>
      <c r="E5" s="113"/>
      <c r="F5" s="100"/>
      <c r="G5" s="46"/>
      <c r="H5" s="143"/>
      <c r="I5" s="143"/>
    </row>
    <row r="6" spans="1:9" s="10" customFormat="1" ht="48" customHeight="1" x14ac:dyDescent="0.15">
      <c r="A6" s="13"/>
      <c r="B6" s="24"/>
      <c r="C6" s="48" t="s">
        <v>12</v>
      </c>
      <c r="D6" s="33"/>
      <c r="E6" s="114"/>
      <c r="F6" s="119"/>
      <c r="G6" s="56">
        <f>D6-E6</f>
        <v>0</v>
      </c>
      <c r="H6" s="132"/>
      <c r="I6" s="132"/>
    </row>
    <row r="7" spans="1:9" s="10" customFormat="1" ht="48" customHeight="1" x14ac:dyDescent="0.15">
      <c r="A7" s="15"/>
      <c r="B7" s="74"/>
      <c r="C7" s="75"/>
      <c r="D7" s="76"/>
      <c r="E7" s="115"/>
      <c r="F7" s="95"/>
      <c r="G7" s="57">
        <f>D7-E7</f>
        <v>0</v>
      </c>
      <c r="H7" s="133"/>
      <c r="I7" s="133"/>
    </row>
    <row r="8" spans="1:9" s="10" customFormat="1" ht="48" customHeight="1" x14ac:dyDescent="0.15">
      <c r="A8" s="15"/>
      <c r="B8" s="74"/>
      <c r="C8" s="75"/>
      <c r="D8" s="76"/>
      <c r="E8" s="115"/>
      <c r="F8" s="95"/>
      <c r="G8" s="57">
        <f>D8-E8</f>
        <v>0</v>
      </c>
      <c r="H8" s="133"/>
      <c r="I8" s="133"/>
    </row>
    <row r="9" spans="1:9" s="10" customFormat="1" ht="48" customHeight="1" x14ac:dyDescent="0.15">
      <c r="A9" s="15"/>
      <c r="B9" s="74"/>
      <c r="C9" s="75"/>
      <c r="D9" s="137"/>
      <c r="E9" s="115"/>
      <c r="F9" s="95"/>
      <c r="G9" s="57">
        <f>D9-E9</f>
        <v>0</v>
      </c>
      <c r="H9" s="133"/>
      <c r="I9" s="133"/>
    </row>
    <row r="10" spans="1:9" s="10" customFormat="1" ht="48" customHeight="1" x14ac:dyDescent="0.15">
      <c r="A10" s="15"/>
      <c r="B10" s="26"/>
      <c r="C10" s="28"/>
      <c r="D10" s="136"/>
      <c r="E10" s="111"/>
      <c r="F10" s="94"/>
      <c r="G10" s="57">
        <f>D10-E10</f>
        <v>0</v>
      </c>
      <c r="H10" s="133"/>
      <c r="I10" s="133"/>
    </row>
    <row r="11" spans="1:9" s="10" customFormat="1" ht="48" customHeight="1" thickBot="1" x14ac:dyDescent="0.2">
      <c r="A11" s="17"/>
      <c r="B11" s="120"/>
      <c r="C11" s="121"/>
      <c r="D11" s="128"/>
      <c r="E11" s="182"/>
      <c r="F11" s="123"/>
      <c r="G11" s="129"/>
      <c r="H11" s="134"/>
      <c r="I11" s="134"/>
    </row>
  </sheetData>
  <mergeCells count="9">
    <mergeCell ref="F1:G1"/>
    <mergeCell ref="H1:I1"/>
    <mergeCell ref="A2:A3"/>
    <mergeCell ref="C2:C3"/>
    <mergeCell ref="D2:D3"/>
    <mergeCell ref="E2:F2"/>
    <mergeCell ref="G2:G3"/>
    <mergeCell ref="H2:H3"/>
    <mergeCell ref="I2:I3"/>
  </mergeCells>
  <phoneticPr fontId="10" type="noConversion"/>
  <pageMargins left="0.55118110236220474" right="0.47244094488188981" top="1.1023622047244095" bottom="0.62992125984251968" header="0.70866141732283472" footer="0.39370078740157483"/>
  <pageSetup paperSize="9" firstPageNumber="41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I11"/>
  <sheetViews>
    <sheetView zoomScale="115" zoomScaleNormal="115" workbookViewId="0">
      <selection activeCell="E3" sqref="E3:E11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4" max="4" width="8.88671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47</v>
      </c>
      <c r="B1" s="22"/>
      <c r="C1" s="11"/>
      <c r="D1" s="11"/>
      <c r="E1" s="11"/>
      <c r="F1" s="596"/>
      <c r="G1" s="596"/>
      <c r="H1" s="596" t="s">
        <v>20</v>
      </c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8" t="s">
        <v>16</v>
      </c>
      <c r="D2" s="597" t="s">
        <v>17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597"/>
      <c r="B3" s="65" t="s">
        <v>21</v>
      </c>
      <c r="C3" s="597"/>
      <c r="D3" s="597"/>
      <c r="E3" s="116" t="s">
        <v>13</v>
      </c>
      <c r="F3" s="89" t="s">
        <v>52</v>
      </c>
      <c r="G3" s="597"/>
      <c r="H3" s="597"/>
      <c r="I3" s="597"/>
    </row>
    <row r="4" spans="1:9" s="10" customFormat="1" ht="47.1" customHeight="1" x14ac:dyDescent="0.15">
      <c r="A4" s="62" t="s">
        <v>19</v>
      </c>
      <c r="B4" s="63"/>
      <c r="C4" s="64"/>
      <c r="D4" s="64"/>
      <c r="E4" s="112">
        <f>SUM(E6:E17)</f>
        <v>0</v>
      </c>
      <c r="F4" s="90"/>
      <c r="G4" s="64"/>
      <c r="H4" s="63"/>
      <c r="I4" s="63"/>
    </row>
    <row r="5" spans="1:9" s="10" customFormat="1" ht="47.1" customHeight="1" x14ac:dyDescent="0.15">
      <c r="A5" s="49"/>
      <c r="B5" s="45"/>
      <c r="C5" s="46"/>
      <c r="D5" s="46"/>
      <c r="E5" s="113"/>
      <c r="F5" s="100"/>
      <c r="G5" s="46"/>
      <c r="H5" s="143"/>
      <c r="I5" s="143"/>
    </row>
    <row r="6" spans="1:9" s="10" customFormat="1" ht="48" customHeight="1" x14ac:dyDescent="0.15">
      <c r="A6" s="13"/>
      <c r="B6" s="24"/>
      <c r="C6" s="48" t="s">
        <v>12</v>
      </c>
      <c r="D6" s="33"/>
      <c r="E6" s="114"/>
      <c r="F6" s="119"/>
      <c r="G6" s="56">
        <f>D6-E6</f>
        <v>0</v>
      </c>
      <c r="H6" s="132"/>
      <c r="I6" s="132"/>
    </row>
    <row r="7" spans="1:9" s="10" customFormat="1" ht="48" customHeight="1" x14ac:dyDescent="0.15">
      <c r="A7" s="15"/>
      <c r="B7" s="74"/>
      <c r="C7" s="75"/>
      <c r="D7" s="76"/>
      <c r="E7" s="115"/>
      <c r="F7" s="95"/>
      <c r="G7" s="57">
        <f>D7-E7</f>
        <v>0</v>
      </c>
      <c r="H7" s="133"/>
      <c r="I7" s="133"/>
    </row>
    <row r="8" spans="1:9" s="10" customFormat="1" ht="48" customHeight="1" x14ac:dyDescent="0.15">
      <c r="A8" s="15"/>
      <c r="B8" s="74"/>
      <c r="C8" s="75"/>
      <c r="D8" s="76"/>
      <c r="E8" s="115"/>
      <c r="F8" s="95"/>
      <c r="G8" s="57">
        <f>D8-E8</f>
        <v>0</v>
      </c>
      <c r="H8" s="133"/>
      <c r="I8" s="133"/>
    </row>
    <row r="9" spans="1:9" s="10" customFormat="1" ht="48" customHeight="1" x14ac:dyDescent="0.15">
      <c r="A9" s="15"/>
      <c r="B9" s="74"/>
      <c r="C9" s="75"/>
      <c r="D9" s="137"/>
      <c r="E9" s="115"/>
      <c r="F9" s="95"/>
      <c r="G9" s="57">
        <f>D9-E9</f>
        <v>0</v>
      </c>
      <c r="H9" s="133"/>
      <c r="I9" s="133"/>
    </row>
    <row r="10" spans="1:9" s="10" customFormat="1" ht="48" customHeight="1" x14ac:dyDescent="0.15">
      <c r="A10" s="15"/>
      <c r="B10" s="26"/>
      <c r="C10" s="28"/>
      <c r="D10" s="136"/>
      <c r="E10" s="111"/>
      <c r="F10" s="94"/>
      <c r="G10" s="57">
        <f>D10-E10</f>
        <v>0</v>
      </c>
      <c r="H10" s="133"/>
      <c r="I10" s="133"/>
    </row>
    <row r="11" spans="1:9" s="10" customFormat="1" ht="48" customHeight="1" thickBot="1" x14ac:dyDescent="0.2">
      <c r="A11" s="17"/>
      <c r="B11" s="120"/>
      <c r="C11" s="121"/>
      <c r="D11" s="128"/>
      <c r="E11" s="182"/>
      <c r="F11" s="123"/>
      <c r="G11" s="129"/>
      <c r="H11" s="134"/>
      <c r="I11" s="134"/>
    </row>
  </sheetData>
  <mergeCells count="9">
    <mergeCell ref="F1:G1"/>
    <mergeCell ref="H1:I1"/>
    <mergeCell ref="A2:A3"/>
    <mergeCell ref="C2:C3"/>
    <mergeCell ref="D2:D3"/>
    <mergeCell ref="E2:F2"/>
    <mergeCell ref="G2:G3"/>
    <mergeCell ref="H2:H3"/>
    <mergeCell ref="I2:I3"/>
  </mergeCells>
  <phoneticPr fontId="10" type="noConversion"/>
  <pageMargins left="0.55118110236220474" right="0.47244094488188981" top="1.1023622047244095" bottom="0.62992125984251968" header="0.70866141732283472" footer="0.39370078740157483"/>
  <pageSetup paperSize="9" firstPageNumber="41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I11"/>
  <sheetViews>
    <sheetView zoomScale="115" zoomScaleNormal="115" workbookViewId="0">
      <selection activeCell="E3" sqref="E3:E11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4" max="4" width="8.88671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48</v>
      </c>
      <c r="B1" s="22"/>
      <c r="C1" s="11"/>
      <c r="D1" s="11"/>
      <c r="E1" s="11"/>
      <c r="F1" s="596"/>
      <c r="G1" s="596"/>
      <c r="H1" s="596" t="s">
        <v>20</v>
      </c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8" t="s">
        <v>16</v>
      </c>
      <c r="D2" s="597" t="s">
        <v>17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597"/>
      <c r="B3" s="65" t="s">
        <v>21</v>
      </c>
      <c r="C3" s="597"/>
      <c r="D3" s="597"/>
      <c r="E3" s="116" t="s">
        <v>13</v>
      </c>
      <c r="F3" s="89" t="s">
        <v>52</v>
      </c>
      <c r="G3" s="597"/>
      <c r="H3" s="597"/>
      <c r="I3" s="597"/>
    </row>
    <row r="4" spans="1:9" s="10" customFormat="1" ht="47.1" customHeight="1" x14ac:dyDescent="0.15">
      <c r="A4" s="62" t="s">
        <v>19</v>
      </c>
      <c r="B4" s="63"/>
      <c r="C4" s="64"/>
      <c r="D4" s="64"/>
      <c r="E4" s="112">
        <f>SUM(E6:E17)</f>
        <v>0</v>
      </c>
      <c r="F4" s="90"/>
      <c r="G4" s="64"/>
      <c r="H4" s="63"/>
      <c r="I4" s="63"/>
    </row>
    <row r="5" spans="1:9" s="10" customFormat="1" ht="47.1" customHeight="1" x14ac:dyDescent="0.15">
      <c r="A5" s="49"/>
      <c r="B5" s="45"/>
      <c r="C5" s="46"/>
      <c r="D5" s="46"/>
      <c r="E5" s="113"/>
      <c r="F5" s="100"/>
      <c r="G5" s="46"/>
      <c r="H5" s="143"/>
      <c r="I5" s="143"/>
    </row>
    <row r="6" spans="1:9" s="10" customFormat="1" ht="48" customHeight="1" x14ac:dyDescent="0.15">
      <c r="A6" s="13"/>
      <c r="B6" s="24"/>
      <c r="C6" s="48" t="s">
        <v>12</v>
      </c>
      <c r="D6" s="33"/>
      <c r="E6" s="114"/>
      <c r="F6" s="119"/>
      <c r="G6" s="56">
        <f>D6-E6</f>
        <v>0</v>
      </c>
      <c r="H6" s="132"/>
      <c r="I6" s="132"/>
    </row>
    <row r="7" spans="1:9" s="10" customFormat="1" ht="48" customHeight="1" x14ac:dyDescent="0.15">
      <c r="A7" s="15"/>
      <c r="B7" s="74"/>
      <c r="C7" s="75"/>
      <c r="D7" s="76"/>
      <c r="E7" s="115"/>
      <c r="F7" s="95"/>
      <c r="G7" s="57">
        <f>D7-E7</f>
        <v>0</v>
      </c>
      <c r="H7" s="133"/>
      <c r="I7" s="133"/>
    </row>
    <row r="8" spans="1:9" s="10" customFormat="1" ht="48" customHeight="1" x14ac:dyDescent="0.15">
      <c r="A8" s="15"/>
      <c r="B8" s="74"/>
      <c r="C8" s="75"/>
      <c r="D8" s="76"/>
      <c r="E8" s="115"/>
      <c r="F8" s="95"/>
      <c r="G8" s="57">
        <f>D8-E8</f>
        <v>0</v>
      </c>
      <c r="H8" s="133"/>
      <c r="I8" s="133"/>
    </row>
    <row r="9" spans="1:9" s="10" customFormat="1" ht="48" customHeight="1" x14ac:dyDescent="0.15">
      <c r="A9" s="15"/>
      <c r="B9" s="74"/>
      <c r="C9" s="75"/>
      <c r="D9" s="137"/>
      <c r="E9" s="115"/>
      <c r="F9" s="95"/>
      <c r="G9" s="57">
        <f>D9-E9</f>
        <v>0</v>
      </c>
      <c r="H9" s="133"/>
      <c r="I9" s="133"/>
    </row>
    <row r="10" spans="1:9" s="10" customFormat="1" ht="48" customHeight="1" x14ac:dyDescent="0.15">
      <c r="A10" s="15"/>
      <c r="B10" s="26"/>
      <c r="C10" s="28"/>
      <c r="D10" s="136"/>
      <c r="E10" s="111"/>
      <c r="F10" s="94"/>
      <c r="G10" s="57">
        <f>D10-E10</f>
        <v>0</v>
      </c>
      <c r="H10" s="133"/>
      <c r="I10" s="133"/>
    </row>
    <row r="11" spans="1:9" s="10" customFormat="1" ht="48" customHeight="1" thickBot="1" x14ac:dyDescent="0.2">
      <c r="A11" s="17"/>
      <c r="B11" s="120"/>
      <c r="C11" s="121"/>
      <c r="D11" s="128"/>
      <c r="E11" s="182"/>
      <c r="F11" s="123"/>
      <c r="G11" s="129"/>
      <c r="H11" s="134"/>
      <c r="I11" s="134"/>
    </row>
  </sheetData>
  <mergeCells count="9">
    <mergeCell ref="F1:G1"/>
    <mergeCell ref="H1:I1"/>
    <mergeCell ref="A2:A3"/>
    <mergeCell ref="C2:C3"/>
    <mergeCell ref="D2:D3"/>
    <mergeCell ref="E2:F2"/>
    <mergeCell ref="G2:G3"/>
    <mergeCell ref="H2:H3"/>
    <mergeCell ref="I2:I3"/>
  </mergeCells>
  <phoneticPr fontId="10" type="noConversion"/>
  <pageMargins left="0.55118110236220474" right="0.47244094488188981" top="1.1023622047244095" bottom="0.62992125984251968" header="0.70866141732283472" footer="0.39370078740157483"/>
  <pageSetup paperSize="9" firstPageNumber="41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I11"/>
  <sheetViews>
    <sheetView zoomScale="115" zoomScaleNormal="115" workbookViewId="0">
      <selection activeCell="E3" sqref="E3:E11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4" max="4" width="8.88671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49</v>
      </c>
      <c r="B1" s="22"/>
      <c r="C1" s="11"/>
      <c r="D1" s="11"/>
      <c r="E1" s="11"/>
      <c r="F1" s="596"/>
      <c r="G1" s="596"/>
      <c r="H1" s="596" t="s">
        <v>20</v>
      </c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8" t="s">
        <v>16</v>
      </c>
      <c r="D2" s="597" t="s">
        <v>17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597"/>
      <c r="B3" s="65" t="s">
        <v>21</v>
      </c>
      <c r="C3" s="597"/>
      <c r="D3" s="597"/>
      <c r="E3" s="116" t="s">
        <v>13</v>
      </c>
      <c r="F3" s="89" t="s">
        <v>52</v>
      </c>
      <c r="G3" s="597"/>
      <c r="H3" s="597"/>
      <c r="I3" s="597"/>
    </row>
    <row r="4" spans="1:9" s="10" customFormat="1" ht="47.1" customHeight="1" x14ac:dyDescent="0.15">
      <c r="A4" s="62" t="s">
        <v>19</v>
      </c>
      <c r="B4" s="63"/>
      <c r="C4" s="64"/>
      <c r="D4" s="64"/>
      <c r="E4" s="112">
        <f>SUM(E6:E17)</f>
        <v>0</v>
      </c>
      <c r="F4" s="90"/>
      <c r="G4" s="64"/>
      <c r="H4" s="63"/>
      <c r="I4" s="63"/>
    </row>
    <row r="5" spans="1:9" s="10" customFormat="1" ht="47.1" customHeight="1" x14ac:dyDescent="0.15">
      <c r="A5" s="49"/>
      <c r="B5" s="45"/>
      <c r="C5" s="46"/>
      <c r="D5" s="46"/>
      <c r="E5" s="113"/>
      <c r="F5" s="100"/>
      <c r="G5" s="46"/>
      <c r="H5" s="143"/>
      <c r="I5" s="143"/>
    </row>
    <row r="6" spans="1:9" s="10" customFormat="1" ht="48" customHeight="1" x14ac:dyDescent="0.15">
      <c r="A6" s="13"/>
      <c r="B6" s="24"/>
      <c r="C6" s="48" t="s">
        <v>12</v>
      </c>
      <c r="D6" s="33"/>
      <c r="E6" s="114"/>
      <c r="F6" s="119"/>
      <c r="G6" s="56">
        <f>D6-E6</f>
        <v>0</v>
      </c>
      <c r="H6" s="132"/>
      <c r="I6" s="132"/>
    </row>
    <row r="7" spans="1:9" s="10" customFormat="1" ht="48" customHeight="1" x14ac:dyDescent="0.15">
      <c r="A7" s="15"/>
      <c r="B7" s="74"/>
      <c r="C7" s="75"/>
      <c r="D7" s="76"/>
      <c r="E7" s="115"/>
      <c r="F7" s="95"/>
      <c r="G7" s="57">
        <f>D7-E7</f>
        <v>0</v>
      </c>
      <c r="H7" s="133"/>
      <c r="I7" s="133"/>
    </row>
    <row r="8" spans="1:9" s="10" customFormat="1" ht="48" customHeight="1" x14ac:dyDescent="0.15">
      <c r="A8" s="15"/>
      <c r="B8" s="74"/>
      <c r="C8" s="75"/>
      <c r="D8" s="76"/>
      <c r="E8" s="115"/>
      <c r="F8" s="95"/>
      <c r="G8" s="57">
        <f>D8-E8</f>
        <v>0</v>
      </c>
      <c r="H8" s="133"/>
      <c r="I8" s="133"/>
    </row>
    <row r="9" spans="1:9" s="10" customFormat="1" ht="48" customHeight="1" x14ac:dyDescent="0.15">
      <c r="A9" s="15"/>
      <c r="B9" s="74"/>
      <c r="C9" s="75"/>
      <c r="D9" s="137"/>
      <c r="E9" s="115"/>
      <c r="F9" s="95"/>
      <c r="G9" s="57">
        <f>D9-E9</f>
        <v>0</v>
      </c>
      <c r="H9" s="133"/>
      <c r="I9" s="133"/>
    </row>
    <row r="10" spans="1:9" s="10" customFormat="1" ht="48" customHeight="1" x14ac:dyDescent="0.15">
      <c r="A10" s="15"/>
      <c r="B10" s="26"/>
      <c r="C10" s="28"/>
      <c r="D10" s="136"/>
      <c r="E10" s="111"/>
      <c r="F10" s="94"/>
      <c r="G10" s="57">
        <f>D10-E10</f>
        <v>0</v>
      </c>
      <c r="H10" s="133"/>
      <c r="I10" s="133"/>
    </row>
    <row r="11" spans="1:9" s="10" customFormat="1" ht="48" customHeight="1" thickBot="1" x14ac:dyDescent="0.2">
      <c r="A11" s="17"/>
      <c r="B11" s="120"/>
      <c r="C11" s="121"/>
      <c r="D11" s="128"/>
      <c r="E11" s="182"/>
      <c r="F11" s="123"/>
      <c r="G11" s="129"/>
      <c r="H11" s="134"/>
      <c r="I11" s="134"/>
    </row>
  </sheetData>
  <mergeCells count="9">
    <mergeCell ref="F1:G1"/>
    <mergeCell ref="H1:I1"/>
    <mergeCell ref="A2:A3"/>
    <mergeCell ref="C2:C3"/>
    <mergeCell ref="D2:D3"/>
    <mergeCell ref="E2:F2"/>
    <mergeCell ref="G2:G3"/>
    <mergeCell ref="H2:H3"/>
    <mergeCell ref="I2:I3"/>
  </mergeCells>
  <phoneticPr fontId="10" type="noConversion"/>
  <pageMargins left="0.55118110236220474" right="0.47244094488188981" top="1.1023622047244095" bottom="0.62992125984251968" header="0.70866141732283472" footer="0.39370078740157483"/>
  <pageSetup paperSize="9" firstPageNumber="41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I11"/>
  <sheetViews>
    <sheetView zoomScale="115" zoomScaleNormal="115" workbookViewId="0">
      <selection activeCell="E3" sqref="E3:E11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4" max="4" width="8.88671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34</v>
      </c>
      <c r="B1" s="22"/>
      <c r="C1" s="11"/>
      <c r="D1" s="11"/>
      <c r="E1" s="11"/>
      <c r="F1" s="596"/>
      <c r="G1" s="596"/>
      <c r="H1" s="596" t="s">
        <v>20</v>
      </c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8" t="s">
        <v>16</v>
      </c>
      <c r="D2" s="597" t="s">
        <v>17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597"/>
      <c r="B3" s="65" t="s">
        <v>21</v>
      </c>
      <c r="C3" s="597"/>
      <c r="D3" s="597"/>
      <c r="E3" s="116" t="s">
        <v>13</v>
      </c>
      <c r="F3" s="89" t="s">
        <v>52</v>
      </c>
      <c r="G3" s="597"/>
      <c r="H3" s="597"/>
      <c r="I3" s="597"/>
    </row>
    <row r="4" spans="1:9" s="10" customFormat="1" ht="47.1" customHeight="1" x14ac:dyDescent="0.15">
      <c r="A4" s="62" t="s">
        <v>19</v>
      </c>
      <c r="B4" s="63"/>
      <c r="C4" s="64"/>
      <c r="D4" s="64"/>
      <c r="E4" s="112">
        <f>SUM(E6:E17)</f>
        <v>0</v>
      </c>
      <c r="F4" s="90"/>
      <c r="G4" s="64"/>
      <c r="H4" s="63"/>
      <c r="I4" s="63"/>
    </row>
    <row r="5" spans="1:9" s="10" customFormat="1" ht="47.1" customHeight="1" x14ac:dyDescent="0.15">
      <c r="A5" s="49"/>
      <c r="B5" s="45"/>
      <c r="C5" s="46"/>
      <c r="D5" s="46"/>
      <c r="E5" s="113"/>
      <c r="F5" s="100"/>
      <c r="G5" s="46"/>
      <c r="H5" s="143"/>
      <c r="I5" s="143"/>
    </row>
    <row r="6" spans="1:9" s="10" customFormat="1" ht="48" customHeight="1" x14ac:dyDescent="0.15">
      <c r="A6" s="13"/>
      <c r="B6" s="24"/>
      <c r="C6" s="48" t="s">
        <v>12</v>
      </c>
      <c r="D6" s="33"/>
      <c r="E6" s="114"/>
      <c r="F6" s="119"/>
      <c r="G6" s="56">
        <f>D6-E6</f>
        <v>0</v>
      </c>
      <c r="H6" s="132"/>
      <c r="I6" s="132"/>
    </row>
    <row r="7" spans="1:9" s="10" customFormat="1" ht="48" customHeight="1" x14ac:dyDescent="0.15">
      <c r="A7" s="15"/>
      <c r="B7" s="74"/>
      <c r="C7" s="75"/>
      <c r="D7" s="76"/>
      <c r="E7" s="115"/>
      <c r="F7" s="95"/>
      <c r="G7" s="57">
        <f>D7-E7</f>
        <v>0</v>
      </c>
      <c r="H7" s="133"/>
      <c r="I7" s="133"/>
    </row>
    <row r="8" spans="1:9" s="10" customFormat="1" ht="48" customHeight="1" x14ac:dyDescent="0.15">
      <c r="A8" s="15"/>
      <c r="B8" s="74"/>
      <c r="C8" s="75"/>
      <c r="D8" s="76"/>
      <c r="E8" s="115"/>
      <c r="F8" s="95"/>
      <c r="G8" s="57">
        <f>D8-E8</f>
        <v>0</v>
      </c>
      <c r="H8" s="133"/>
      <c r="I8" s="133"/>
    </row>
    <row r="9" spans="1:9" s="10" customFormat="1" ht="48" customHeight="1" x14ac:dyDescent="0.15">
      <c r="A9" s="15"/>
      <c r="B9" s="74"/>
      <c r="C9" s="75"/>
      <c r="D9" s="137"/>
      <c r="E9" s="115"/>
      <c r="F9" s="95"/>
      <c r="G9" s="57">
        <f>D9-E9</f>
        <v>0</v>
      </c>
      <c r="H9" s="133"/>
      <c r="I9" s="133"/>
    </row>
    <row r="10" spans="1:9" s="10" customFormat="1" ht="48" customHeight="1" x14ac:dyDescent="0.15">
      <c r="A10" s="15"/>
      <c r="B10" s="26"/>
      <c r="C10" s="28"/>
      <c r="D10" s="136"/>
      <c r="E10" s="111"/>
      <c r="F10" s="94"/>
      <c r="G10" s="57">
        <f>D10-E10</f>
        <v>0</v>
      </c>
      <c r="H10" s="133"/>
      <c r="I10" s="133"/>
    </row>
    <row r="11" spans="1:9" s="10" customFormat="1" ht="48" customHeight="1" thickBot="1" x14ac:dyDescent="0.2">
      <c r="A11" s="17"/>
      <c r="B11" s="120"/>
      <c r="C11" s="121"/>
      <c r="D11" s="128"/>
      <c r="E11" s="182"/>
      <c r="F11" s="123"/>
      <c r="G11" s="129"/>
      <c r="H11" s="134"/>
      <c r="I11" s="134"/>
    </row>
  </sheetData>
  <mergeCells count="9">
    <mergeCell ref="F1:G1"/>
    <mergeCell ref="H1:I1"/>
    <mergeCell ref="A2:A3"/>
    <mergeCell ref="C2:C3"/>
    <mergeCell ref="D2:D3"/>
    <mergeCell ref="E2:F2"/>
    <mergeCell ref="G2:G3"/>
    <mergeCell ref="H2:H3"/>
    <mergeCell ref="I2:I3"/>
  </mergeCells>
  <phoneticPr fontId="10" type="noConversion"/>
  <pageMargins left="0.55118110236220474" right="0.47244094488188981" top="1.1023622047244095" bottom="0.62992125984251968" header="0.70866141732283472" footer="0.39370078740157483"/>
  <pageSetup paperSize="9" firstPageNumber="41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I11"/>
  <sheetViews>
    <sheetView zoomScale="115" zoomScaleNormal="115" workbookViewId="0">
      <selection activeCell="G13" sqref="G13"/>
    </sheetView>
  </sheetViews>
  <sheetFormatPr defaultRowHeight="13.5" x14ac:dyDescent="0.15"/>
  <cols>
    <col min="1" max="1" width="8.88671875" customWidth="1"/>
    <col min="2" max="2" width="9.6640625" style="2" customWidth="1"/>
    <col min="3" max="3" width="18.5546875" customWidth="1"/>
    <col min="4" max="4" width="8.88671875" customWidth="1"/>
    <col min="5" max="5" width="10.21875" customWidth="1"/>
    <col min="6" max="6" width="20.44140625" customWidth="1"/>
    <col min="7" max="7" width="10.33203125" customWidth="1"/>
    <col min="8" max="8" width="20.88671875" customWidth="1"/>
    <col min="9" max="9" width="10.33203125" customWidth="1"/>
  </cols>
  <sheetData>
    <row r="1" spans="1:9" s="1" customFormat="1" ht="18" customHeight="1" x14ac:dyDescent="0.15">
      <c r="A1" s="22" t="s">
        <v>50</v>
      </c>
      <c r="B1" s="22"/>
      <c r="C1" s="11"/>
      <c r="D1" s="11"/>
      <c r="E1" s="11"/>
      <c r="F1" s="596"/>
      <c r="G1" s="596"/>
      <c r="H1" s="596" t="s">
        <v>20</v>
      </c>
      <c r="I1" s="596"/>
    </row>
    <row r="2" spans="1:9" s="10" customFormat="1" ht="32.25" customHeight="1" thickBot="1" x14ac:dyDescent="0.2">
      <c r="A2" s="597" t="s">
        <v>14</v>
      </c>
      <c r="B2" s="12" t="s">
        <v>15</v>
      </c>
      <c r="C2" s="598" t="s">
        <v>16</v>
      </c>
      <c r="D2" s="597" t="s">
        <v>17</v>
      </c>
      <c r="E2" s="600" t="s">
        <v>51</v>
      </c>
      <c r="F2" s="597"/>
      <c r="G2" s="598" t="s">
        <v>43</v>
      </c>
      <c r="H2" s="598" t="s">
        <v>45</v>
      </c>
      <c r="I2" s="598" t="s">
        <v>46</v>
      </c>
    </row>
    <row r="3" spans="1:9" s="10" customFormat="1" ht="32.25" customHeight="1" x14ac:dyDescent="0.15">
      <c r="A3" s="597"/>
      <c r="B3" s="65" t="s">
        <v>21</v>
      </c>
      <c r="C3" s="597"/>
      <c r="D3" s="597"/>
      <c r="E3" s="116" t="s">
        <v>13</v>
      </c>
      <c r="F3" s="89" t="s">
        <v>52</v>
      </c>
      <c r="G3" s="597"/>
      <c r="H3" s="597"/>
      <c r="I3" s="597"/>
    </row>
    <row r="4" spans="1:9" s="10" customFormat="1" ht="47.1" customHeight="1" x14ac:dyDescent="0.15">
      <c r="A4" s="62" t="s">
        <v>19</v>
      </c>
      <c r="B4" s="63"/>
      <c r="C4" s="64"/>
      <c r="D4" s="64"/>
      <c r="E4" s="112">
        <f>SUM(E6:E17)</f>
        <v>0</v>
      </c>
      <c r="F4" s="90"/>
      <c r="G4" s="64"/>
      <c r="H4" s="63"/>
      <c r="I4" s="63"/>
    </row>
    <row r="5" spans="1:9" s="10" customFormat="1" ht="47.1" customHeight="1" x14ac:dyDescent="0.15">
      <c r="A5" s="49"/>
      <c r="B5" s="45"/>
      <c r="C5" s="46"/>
      <c r="D5" s="46"/>
      <c r="E5" s="113"/>
      <c r="F5" s="100"/>
      <c r="G5" s="46"/>
      <c r="H5" s="143"/>
      <c r="I5" s="143"/>
    </row>
    <row r="6" spans="1:9" s="10" customFormat="1" ht="48" customHeight="1" x14ac:dyDescent="0.15">
      <c r="A6" s="13"/>
      <c r="B6" s="24"/>
      <c r="C6" s="48" t="s">
        <v>12</v>
      </c>
      <c r="D6" s="33"/>
      <c r="E6" s="114"/>
      <c r="F6" s="119"/>
      <c r="G6" s="56">
        <f>D6-E6</f>
        <v>0</v>
      </c>
      <c r="H6" s="132"/>
      <c r="I6" s="132"/>
    </row>
    <row r="7" spans="1:9" s="10" customFormat="1" ht="48" customHeight="1" x14ac:dyDescent="0.15">
      <c r="A7" s="15"/>
      <c r="B7" s="74"/>
      <c r="C7" s="75"/>
      <c r="D7" s="76"/>
      <c r="E7" s="115"/>
      <c r="F7" s="95"/>
      <c r="G7" s="57">
        <f>D7-E7</f>
        <v>0</v>
      </c>
      <c r="H7" s="133"/>
      <c r="I7" s="133"/>
    </row>
    <row r="8" spans="1:9" s="10" customFormat="1" ht="48" customHeight="1" x14ac:dyDescent="0.15">
      <c r="A8" s="15"/>
      <c r="B8" s="74"/>
      <c r="C8" s="75"/>
      <c r="D8" s="76"/>
      <c r="E8" s="115"/>
      <c r="F8" s="95"/>
      <c r="G8" s="57">
        <f>D8-E8</f>
        <v>0</v>
      </c>
      <c r="H8" s="133"/>
      <c r="I8" s="133"/>
    </row>
    <row r="9" spans="1:9" s="10" customFormat="1" ht="48" customHeight="1" x14ac:dyDescent="0.15">
      <c r="A9" s="15"/>
      <c r="B9" s="74"/>
      <c r="C9" s="75"/>
      <c r="D9" s="137"/>
      <c r="E9" s="115"/>
      <c r="F9" s="95"/>
      <c r="G9" s="57">
        <f>D9-E9</f>
        <v>0</v>
      </c>
      <c r="H9" s="133"/>
      <c r="I9" s="133"/>
    </row>
    <row r="10" spans="1:9" s="10" customFormat="1" ht="48" customHeight="1" x14ac:dyDescent="0.15">
      <c r="A10" s="15"/>
      <c r="B10" s="26"/>
      <c r="C10" s="28"/>
      <c r="D10" s="136"/>
      <c r="E10" s="111"/>
      <c r="F10" s="94"/>
      <c r="G10" s="57">
        <f>D10-E10</f>
        <v>0</v>
      </c>
      <c r="H10" s="133"/>
      <c r="I10" s="133"/>
    </row>
    <row r="11" spans="1:9" s="10" customFormat="1" ht="48" customHeight="1" thickBot="1" x14ac:dyDescent="0.2">
      <c r="A11" s="17"/>
      <c r="B11" s="120"/>
      <c r="C11" s="121"/>
      <c r="D11" s="128"/>
      <c r="E11" s="182"/>
      <c r="F11" s="123"/>
      <c r="G11" s="129"/>
      <c r="H11" s="134"/>
      <c r="I11" s="134"/>
    </row>
  </sheetData>
  <mergeCells count="9">
    <mergeCell ref="F1:G1"/>
    <mergeCell ref="H1:I1"/>
    <mergeCell ref="A2:A3"/>
    <mergeCell ref="C2:C3"/>
    <mergeCell ref="D2:D3"/>
    <mergeCell ref="E2:F2"/>
    <mergeCell ref="G2:G3"/>
    <mergeCell ref="H2:H3"/>
    <mergeCell ref="I2:I3"/>
  </mergeCells>
  <phoneticPr fontId="10" type="noConversion"/>
  <pageMargins left="0.55118110236220474" right="0.47244094488188981" top="1.1023622047244095" bottom="0.62992125984251968" header="0.70866141732283472" footer="0.39370078740157483"/>
  <pageSetup paperSize="9" firstPageNumber="41" orientation="landscape" useFirstPageNumber="1" horizontalDpi="300" verticalDpi="300" r:id="rId1"/>
  <headerFooter>
    <oddHeader>&amp;C&amp;"굴림,굵게"&amp;20 2016년도 일반·특별회계 세입·세출 제2회 추경예산(안) 삭감(조정) 조서</oddHead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C000"/>
    <pageSetUpPr fitToPage="1"/>
  </sheetPr>
  <dimension ref="A1:N14"/>
  <sheetViews>
    <sheetView view="pageBreakPreview" zoomScale="96" zoomScaleNormal="93" zoomScaleSheetLayoutView="96" workbookViewId="0">
      <selection activeCell="A2" sqref="A2"/>
    </sheetView>
  </sheetViews>
  <sheetFormatPr defaultRowHeight="13.5" x14ac:dyDescent="0.15"/>
  <cols>
    <col min="1" max="1" width="7.44140625" style="273" customWidth="1"/>
    <col min="2" max="2" width="6.77734375" style="273" customWidth="1"/>
    <col min="3" max="3" width="10" style="273" customWidth="1"/>
    <col min="4" max="4" width="12.44140625" customWidth="1"/>
    <col min="6" max="6" width="21.44140625" customWidth="1"/>
    <col min="7" max="7" width="12.44140625" style="256" customWidth="1"/>
    <col min="8" max="8" width="12.109375" style="256" customWidth="1"/>
    <col min="9" max="9" width="11.109375" customWidth="1"/>
    <col min="10" max="10" width="24.44140625" customWidth="1"/>
    <col min="11" max="11" width="12.109375" style="256" customWidth="1"/>
    <col min="12" max="12" width="11.109375" customWidth="1"/>
    <col min="13" max="13" width="15.21875" customWidth="1"/>
    <col min="14" max="14" width="14.44140625" customWidth="1"/>
  </cols>
  <sheetData>
    <row r="1" spans="1:14" ht="42.75" customHeight="1" x14ac:dyDescent="0.15">
      <c r="A1" s="627" t="s">
        <v>238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365" t="s">
        <v>229</v>
      </c>
    </row>
    <row r="2" spans="1:14" ht="33.75" customHeight="1" x14ac:dyDescent="0.15">
      <c r="A2" s="335" t="s">
        <v>90</v>
      </c>
      <c r="B2" s="335" t="s">
        <v>90</v>
      </c>
      <c r="C2" s="336"/>
      <c r="D2" s="184"/>
      <c r="E2" s="193"/>
      <c r="F2" s="11"/>
      <c r="G2" s="253"/>
      <c r="H2" s="253"/>
      <c r="I2" s="239"/>
      <c r="J2" s="239"/>
      <c r="K2" s="253"/>
      <c r="L2" s="239"/>
      <c r="M2" s="240" t="s">
        <v>20</v>
      </c>
      <c r="N2" s="362" t="s">
        <v>97</v>
      </c>
    </row>
    <row r="3" spans="1:14" ht="35.1" customHeight="1" x14ac:dyDescent="0.15">
      <c r="A3" s="628" t="s">
        <v>101</v>
      </c>
      <c r="B3" s="630" t="s">
        <v>179</v>
      </c>
      <c r="C3" s="628" t="s">
        <v>14</v>
      </c>
      <c r="D3" s="317" t="s">
        <v>15</v>
      </c>
      <c r="E3" s="644" t="s">
        <v>56</v>
      </c>
      <c r="F3" s="628" t="s">
        <v>177</v>
      </c>
      <c r="G3" s="633" t="s">
        <v>40</v>
      </c>
      <c r="H3" s="635" t="s">
        <v>83</v>
      </c>
      <c r="I3" s="635"/>
      <c r="J3" s="635"/>
      <c r="K3" s="646" t="s">
        <v>178</v>
      </c>
      <c r="L3" s="647"/>
      <c r="M3" s="648" t="s">
        <v>45</v>
      </c>
      <c r="N3" s="362" t="s">
        <v>98</v>
      </c>
    </row>
    <row r="4" spans="1:14" ht="35.1" customHeight="1" x14ac:dyDescent="0.15">
      <c r="A4" s="628"/>
      <c r="B4" s="628"/>
      <c r="C4" s="628"/>
      <c r="D4" s="316" t="s">
        <v>55</v>
      </c>
      <c r="E4" s="645"/>
      <c r="F4" s="628"/>
      <c r="G4" s="633"/>
      <c r="H4" s="260" t="s">
        <v>13</v>
      </c>
      <c r="I4" s="280" t="s">
        <v>43</v>
      </c>
      <c r="J4" s="278" t="s">
        <v>52</v>
      </c>
      <c r="K4" s="344" t="s">
        <v>13</v>
      </c>
      <c r="L4" s="345" t="s">
        <v>43</v>
      </c>
      <c r="M4" s="649"/>
      <c r="N4" s="362" t="s">
        <v>91</v>
      </c>
    </row>
    <row r="5" spans="1:14" ht="45" customHeight="1" x14ac:dyDescent="0.15">
      <c r="A5" s="337" t="s">
        <v>19</v>
      </c>
      <c r="B5" s="338" t="s">
        <v>58</v>
      </c>
      <c r="C5" s="337"/>
      <c r="D5" s="339"/>
      <c r="E5" s="340"/>
      <c r="F5" s="341"/>
      <c r="G5" s="342">
        <f>SUMIFS(G:G,$B:$B,"계")</f>
        <v>0</v>
      </c>
      <c r="H5" s="343">
        <f>SUMIFS(H:H,$B:$B,"계")</f>
        <v>0</v>
      </c>
      <c r="I5" s="343">
        <f>SUMIFS(I:I,$B:$B,"계")</f>
        <v>0</v>
      </c>
      <c r="J5" s="268"/>
      <c r="K5" s="266">
        <f>SUMIFS(K:K,$B:$B,"계")</f>
        <v>0</v>
      </c>
      <c r="L5" s="267">
        <f>SUMIFS(L:L,$B:$B,"계")</f>
        <v>0</v>
      </c>
      <c r="M5" s="268"/>
      <c r="N5" s="362" t="s">
        <v>99</v>
      </c>
    </row>
    <row r="6" spans="1:14" s="328" customFormat="1" ht="45" customHeight="1" x14ac:dyDescent="0.15">
      <c r="A6" s="331" t="s">
        <v>104</v>
      </c>
      <c r="B6" s="320" t="s">
        <v>102</v>
      </c>
      <c r="C6" s="275"/>
      <c r="D6" s="321"/>
      <c r="E6" s="321"/>
      <c r="F6" s="217"/>
      <c r="G6" s="322">
        <f>SUM(G7:G8)</f>
        <v>0</v>
      </c>
      <c r="H6" s="322">
        <f t="shared" ref="H6:I6" si="0">SUM(H7:H8)</f>
        <v>0</v>
      </c>
      <c r="I6" s="323">
        <f t="shared" si="0"/>
        <v>0</v>
      </c>
      <c r="J6" s="324"/>
      <c r="K6" s="325">
        <f>SUM(K7:K8)</f>
        <v>0</v>
      </c>
      <c r="L6" s="326">
        <f>SUM(L7:L8)</f>
        <v>0</v>
      </c>
      <c r="M6" s="324"/>
      <c r="N6" s="363" t="s">
        <v>92</v>
      </c>
    </row>
    <row r="7" spans="1:14" ht="45" customHeight="1" x14ac:dyDescent="0.15">
      <c r="A7" s="332" t="s">
        <v>104</v>
      </c>
      <c r="B7" s="277" t="s">
        <v>232</v>
      </c>
      <c r="C7" s="276"/>
      <c r="D7" s="228"/>
      <c r="E7" s="202"/>
      <c r="F7" s="198"/>
      <c r="G7" s="262"/>
      <c r="H7" s="255"/>
      <c r="I7" s="249">
        <f>G7+H7</f>
        <v>0</v>
      </c>
      <c r="J7" s="279" t="s">
        <v>90</v>
      </c>
      <c r="K7" s="296"/>
      <c r="L7" s="265">
        <f t="shared" ref="L7:L8" si="1">G7+K7</f>
        <v>0</v>
      </c>
      <c r="M7" s="264"/>
      <c r="N7" s="362" t="s">
        <v>93</v>
      </c>
    </row>
    <row r="8" spans="1:14" ht="45" customHeight="1" x14ac:dyDescent="0.15">
      <c r="A8" s="332" t="s">
        <v>104</v>
      </c>
      <c r="B8" s="277" t="s">
        <v>228</v>
      </c>
      <c r="C8" s="276"/>
      <c r="D8" s="228"/>
      <c r="E8" s="202"/>
      <c r="F8" s="198"/>
      <c r="G8" s="262"/>
      <c r="H8" s="255"/>
      <c r="I8" s="249">
        <f>G8+H8</f>
        <v>0</v>
      </c>
      <c r="J8" s="279" t="s">
        <v>90</v>
      </c>
      <c r="K8" s="296"/>
      <c r="L8" s="265">
        <f t="shared" si="1"/>
        <v>0</v>
      </c>
      <c r="M8" s="264"/>
      <c r="N8" s="362" t="s">
        <v>100</v>
      </c>
    </row>
    <row r="9" spans="1:14" s="328" customFormat="1" ht="45" customHeight="1" x14ac:dyDescent="0.15">
      <c r="A9" s="331" t="s">
        <v>105</v>
      </c>
      <c r="B9" s="320" t="s">
        <v>102</v>
      </c>
      <c r="C9" s="275"/>
      <c r="D9" s="321"/>
      <c r="E9" s="321"/>
      <c r="F9" s="217"/>
      <c r="G9" s="322">
        <f>SUM(G10:G11)</f>
        <v>0</v>
      </c>
      <c r="H9" s="322">
        <f>SUM(H10:H11)</f>
        <v>0</v>
      </c>
      <c r="I9" s="323">
        <f>SUM(I10:I11)</f>
        <v>0</v>
      </c>
      <c r="J9" s="324"/>
      <c r="K9" s="325">
        <f>SUM(K10:K11)</f>
        <v>0</v>
      </c>
      <c r="L9" s="326">
        <f>SUM(L10:L11)</f>
        <v>0</v>
      </c>
      <c r="M9" s="282"/>
      <c r="N9" s="362" t="s">
        <v>94</v>
      </c>
    </row>
    <row r="10" spans="1:14" ht="45" customHeight="1" x14ac:dyDescent="0.15">
      <c r="A10" s="332" t="s">
        <v>105</v>
      </c>
      <c r="B10" s="277" t="s">
        <v>233</v>
      </c>
      <c r="C10" s="276"/>
      <c r="D10" s="228"/>
      <c r="E10" s="202"/>
      <c r="F10" s="198"/>
      <c r="G10" s="262"/>
      <c r="H10" s="255"/>
      <c r="I10" s="249">
        <f t="shared" ref="I10:I11" si="2">G10+H10</f>
        <v>0</v>
      </c>
      <c r="J10" s="279" t="s">
        <v>90</v>
      </c>
      <c r="K10" s="296"/>
      <c r="L10" s="265">
        <f t="shared" ref="L10:L11" si="3">G10+K10</f>
        <v>0</v>
      </c>
      <c r="M10" s="264"/>
      <c r="N10" s="362" t="s">
        <v>95</v>
      </c>
    </row>
    <row r="11" spans="1:14" ht="45" customHeight="1" x14ac:dyDescent="0.15">
      <c r="A11" s="332" t="s">
        <v>105</v>
      </c>
      <c r="B11" s="277" t="s">
        <v>228</v>
      </c>
      <c r="C11" s="276"/>
      <c r="D11" s="228"/>
      <c r="E11" s="202"/>
      <c r="F11" s="198"/>
      <c r="G11" s="262"/>
      <c r="H11" s="255"/>
      <c r="I11" s="249">
        <f t="shared" si="2"/>
        <v>0</v>
      </c>
      <c r="J11" s="279" t="s">
        <v>90</v>
      </c>
      <c r="K11" s="296"/>
      <c r="L11" s="265">
        <f t="shared" si="3"/>
        <v>0</v>
      </c>
      <c r="M11" s="264"/>
      <c r="N11" s="362" t="s">
        <v>96</v>
      </c>
    </row>
    <row r="12" spans="1:14" s="328" customFormat="1" ht="45" customHeight="1" x14ac:dyDescent="0.15">
      <c r="A12" s="331" t="s">
        <v>106</v>
      </c>
      <c r="B12" s="320" t="s">
        <v>102</v>
      </c>
      <c r="C12" s="275"/>
      <c r="D12" s="321"/>
      <c r="E12" s="321"/>
      <c r="F12" s="217"/>
      <c r="G12" s="322">
        <f>SUM(G13:G14)</f>
        <v>0</v>
      </c>
      <c r="H12" s="322">
        <f>SUM(H13:H14)</f>
        <v>0</v>
      </c>
      <c r="I12" s="323">
        <f>SUM(I13:I14)</f>
        <v>0</v>
      </c>
      <c r="J12" s="324"/>
      <c r="K12" s="325">
        <f>SUM(K13:K14)</f>
        <v>0</v>
      </c>
      <c r="L12" s="326">
        <f>SUM(L13:L14)</f>
        <v>0</v>
      </c>
      <c r="M12" s="324"/>
      <c r="N12" s="359" t="s">
        <v>230</v>
      </c>
    </row>
    <row r="13" spans="1:14" ht="45" customHeight="1" x14ac:dyDescent="0.15">
      <c r="A13" s="333" t="s">
        <v>106</v>
      </c>
      <c r="B13" s="277" t="s">
        <v>234</v>
      </c>
      <c r="C13" s="276"/>
      <c r="D13" s="228"/>
      <c r="E13" s="202"/>
      <c r="F13" s="198"/>
      <c r="G13" s="262"/>
      <c r="H13" s="255"/>
      <c r="I13" s="249">
        <f t="shared" ref="I13:I14" si="4">G13+H13</f>
        <v>0</v>
      </c>
      <c r="J13" s="279" t="s">
        <v>90</v>
      </c>
      <c r="K13" s="296"/>
      <c r="L13" s="265">
        <f t="shared" ref="L13:L14" si="5">G13+K13</f>
        <v>0</v>
      </c>
      <c r="M13" s="264"/>
    </row>
    <row r="14" spans="1:14" ht="51.75" customHeight="1" x14ac:dyDescent="0.15">
      <c r="A14" s="333" t="s">
        <v>106</v>
      </c>
      <c r="B14" s="277" t="s">
        <v>228</v>
      </c>
      <c r="C14" s="276"/>
      <c r="D14" s="228"/>
      <c r="E14" s="202"/>
      <c r="F14" s="198"/>
      <c r="G14" s="262"/>
      <c r="H14" s="255"/>
      <c r="I14" s="249">
        <f t="shared" si="4"/>
        <v>0</v>
      </c>
      <c r="J14" s="279" t="s">
        <v>90</v>
      </c>
      <c r="K14" s="296"/>
      <c r="L14" s="265">
        <f t="shared" si="5"/>
        <v>0</v>
      </c>
      <c r="M14" s="264"/>
    </row>
  </sheetData>
  <autoFilter ref="A4:M4" xr:uid="{00000000-0009-0000-0000-000016000000}"/>
  <mergeCells count="10">
    <mergeCell ref="A1:M1"/>
    <mergeCell ref="A3:A4"/>
    <mergeCell ref="B3:B4"/>
    <mergeCell ref="C3:C4"/>
    <mergeCell ref="E3:E4"/>
    <mergeCell ref="F3:F4"/>
    <mergeCell ref="G3:G4"/>
    <mergeCell ref="H3:J3"/>
    <mergeCell ref="K3:L3"/>
    <mergeCell ref="M3:M4"/>
  </mergeCells>
  <phoneticPr fontId="10" type="noConversion"/>
  <pageMargins left="0.31496062992125984" right="0.31496062992125984" top="0.74803149606299213" bottom="0.74803149606299213" header="0.31496062992125984" footer="0.31496062992125984"/>
  <pageSetup paperSize="9" scale="74" fitToHeight="50" orientation="landscape" r:id="rId1"/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C000"/>
    <pageSetUpPr fitToPage="1"/>
  </sheetPr>
  <dimension ref="A1:N13"/>
  <sheetViews>
    <sheetView view="pageBreakPreview" zoomScale="96" zoomScaleNormal="93" zoomScaleSheetLayoutView="96" workbookViewId="0">
      <selection sqref="A1:M1"/>
    </sheetView>
  </sheetViews>
  <sheetFormatPr defaultRowHeight="13.5" x14ac:dyDescent="0.15"/>
  <cols>
    <col min="1" max="1" width="7.44140625" style="273" customWidth="1"/>
    <col min="2" max="2" width="6.77734375" style="273" customWidth="1"/>
    <col min="3" max="3" width="10" style="273" customWidth="1"/>
    <col min="4" max="4" width="12.44140625" customWidth="1"/>
    <col min="6" max="6" width="21.44140625" customWidth="1"/>
    <col min="7" max="7" width="12.44140625" style="256" customWidth="1"/>
    <col min="8" max="8" width="12.109375" style="256" customWidth="1"/>
    <col min="9" max="9" width="11.109375" customWidth="1"/>
    <col min="10" max="10" width="24.44140625" customWidth="1"/>
    <col min="11" max="11" width="12.109375" style="256" customWidth="1"/>
    <col min="12" max="12" width="11.109375" customWidth="1"/>
    <col min="13" max="13" width="15.21875" customWidth="1"/>
    <col min="14" max="30" width="12.77734375" customWidth="1"/>
  </cols>
  <sheetData>
    <row r="1" spans="1:14" ht="42.75" customHeight="1" x14ac:dyDescent="0.15">
      <c r="A1" s="627" t="s">
        <v>247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  <c r="N1" s="364" t="s">
        <v>229</v>
      </c>
    </row>
    <row r="2" spans="1:14" ht="33.75" customHeight="1" x14ac:dyDescent="0.15">
      <c r="A2" s="335" t="s">
        <v>90</v>
      </c>
      <c r="B2" s="335" t="s">
        <v>90</v>
      </c>
      <c r="C2" s="336"/>
      <c r="D2" s="184"/>
      <c r="E2" s="193"/>
      <c r="F2" s="11"/>
      <c r="G2" s="253"/>
      <c r="H2" s="253"/>
      <c r="I2" s="239"/>
      <c r="J2" s="239"/>
      <c r="K2" s="253"/>
      <c r="L2" s="239"/>
      <c r="M2" s="240" t="s">
        <v>20</v>
      </c>
      <c r="N2" s="362" t="s">
        <v>97</v>
      </c>
    </row>
    <row r="3" spans="1:14" ht="35.1" customHeight="1" x14ac:dyDescent="0.15">
      <c r="A3" s="628" t="s">
        <v>101</v>
      </c>
      <c r="B3" s="630" t="s">
        <v>179</v>
      </c>
      <c r="C3" s="628" t="s">
        <v>14</v>
      </c>
      <c r="D3" s="642" t="s">
        <v>55</v>
      </c>
      <c r="E3" s="631" t="s">
        <v>56</v>
      </c>
      <c r="F3" s="640" t="s">
        <v>243</v>
      </c>
      <c r="G3" s="633" t="s">
        <v>40</v>
      </c>
      <c r="H3" s="635" t="s">
        <v>83</v>
      </c>
      <c r="I3" s="635"/>
      <c r="J3" s="635"/>
      <c r="K3" s="646" t="s">
        <v>178</v>
      </c>
      <c r="L3" s="647"/>
      <c r="M3" s="648" t="s">
        <v>45</v>
      </c>
      <c r="N3" s="362" t="s">
        <v>98</v>
      </c>
    </row>
    <row r="4" spans="1:14" ht="35.1" customHeight="1" x14ac:dyDescent="0.15">
      <c r="A4" s="628"/>
      <c r="B4" s="628"/>
      <c r="C4" s="628"/>
      <c r="D4" s="643"/>
      <c r="E4" s="650"/>
      <c r="F4" s="641"/>
      <c r="G4" s="633"/>
      <c r="H4" s="260" t="s">
        <v>13</v>
      </c>
      <c r="I4" s="280" t="s">
        <v>43</v>
      </c>
      <c r="J4" s="278" t="s">
        <v>52</v>
      </c>
      <c r="K4" s="269" t="s">
        <v>13</v>
      </c>
      <c r="L4" s="270" t="s">
        <v>43</v>
      </c>
      <c r="M4" s="651"/>
      <c r="N4" s="362" t="s">
        <v>91</v>
      </c>
    </row>
    <row r="5" spans="1:14" ht="45" customHeight="1" x14ac:dyDescent="0.15">
      <c r="A5" s="272" t="s">
        <v>19</v>
      </c>
      <c r="B5" s="334" t="s">
        <v>58</v>
      </c>
      <c r="C5" s="272"/>
      <c r="D5" s="251"/>
      <c r="E5" s="252"/>
      <c r="F5" s="250"/>
      <c r="G5" s="261">
        <f>SUMIFS(G:G,$B:$B,"계")</f>
        <v>0</v>
      </c>
      <c r="H5" s="254">
        <f>SUMIFS(H:H,$B:$B,"계")</f>
        <v>0</v>
      </c>
      <c r="I5" s="254">
        <f>SUMIFS(I:I,$B:$B,"계")</f>
        <v>0</v>
      </c>
      <c r="J5" s="263"/>
      <c r="K5" s="266">
        <f>SUMIFS(K:K,$B:$B,"계")</f>
        <v>0</v>
      </c>
      <c r="L5" s="267">
        <f>SUMIFS(L:L,$B:$B,"계")</f>
        <v>0</v>
      </c>
      <c r="M5" s="268"/>
      <c r="N5" s="362" t="s">
        <v>99</v>
      </c>
    </row>
    <row r="6" spans="1:14" s="328" customFormat="1" ht="45" customHeight="1" x14ac:dyDescent="0.15">
      <c r="A6" s="331" t="s">
        <v>104</v>
      </c>
      <c r="B6" s="320" t="s">
        <v>102</v>
      </c>
      <c r="C6" s="275"/>
      <c r="D6" s="321"/>
      <c r="E6" s="321"/>
      <c r="F6" s="217"/>
      <c r="G6" s="322">
        <f>SUM(G7:G7)</f>
        <v>0</v>
      </c>
      <c r="H6" s="322">
        <f>SUM(H7:H7)</f>
        <v>0</v>
      </c>
      <c r="I6" s="323">
        <f>SUM(I7:I7)</f>
        <v>0</v>
      </c>
      <c r="J6" s="324"/>
      <c r="K6" s="325">
        <f>SUM(K7:K7)</f>
        <v>0</v>
      </c>
      <c r="L6" s="326">
        <f>SUM(L7:L7)</f>
        <v>0</v>
      </c>
      <c r="M6" s="324"/>
      <c r="N6" s="363" t="s">
        <v>92</v>
      </c>
    </row>
    <row r="7" spans="1:14" ht="45" customHeight="1" x14ac:dyDescent="0.15">
      <c r="A7" s="332" t="s">
        <v>104</v>
      </c>
      <c r="B7" s="277" t="s">
        <v>232</v>
      </c>
      <c r="C7" s="276"/>
      <c r="D7" s="228"/>
      <c r="E7" s="202"/>
      <c r="F7" s="198"/>
      <c r="G7" s="262"/>
      <c r="H7" s="255"/>
      <c r="I7" s="249">
        <f>G7+H7</f>
        <v>0</v>
      </c>
      <c r="J7" s="279" t="s">
        <v>90</v>
      </c>
      <c r="K7" s="296"/>
      <c r="L7" s="265">
        <f t="shared" ref="L7" si="0">G7+K7</f>
        <v>0</v>
      </c>
      <c r="M7" s="264"/>
      <c r="N7" s="362" t="s">
        <v>93</v>
      </c>
    </row>
    <row r="8" spans="1:14" s="328" customFormat="1" ht="45" customHeight="1" x14ac:dyDescent="0.15">
      <c r="A8" s="331" t="s">
        <v>105</v>
      </c>
      <c r="B8" s="320" t="s">
        <v>102</v>
      </c>
      <c r="C8" s="275"/>
      <c r="D8" s="321"/>
      <c r="E8" s="321"/>
      <c r="F8" s="217"/>
      <c r="G8" s="322">
        <f>SUM(G9:G9)</f>
        <v>0</v>
      </c>
      <c r="H8" s="322">
        <f>SUM(H9:H9)</f>
        <v>0</v>
      </c>
      <c r="I8" s="323">
        <f>SUM(I9:I9)</f>
        <v>0</v>
      </c>
      <c r="J8" s="324"/>
      <c r="K8" s="325">
        <f>SUM(K9:K9)</f>
        <v>0</v>
      </c>
      <c r="L8" s="326">
        <f>SUM(L9:L9)</f>
        <v>0</v>
      </c>
      <c r="M8" s="282"/>
      <c r="N8" s="362" t="s">
        <v>94</v>
      </c>
    </row>
    <row r="9" spans="1:14" ht="45" customHeight="1" x14ac:dyDescent="0.15">
      <c r="A9" s="332" t="s">
        <v>105</v>
      </c>
      <c r="B9" s="277" t="s">
        <v>233</v>
      </c>
      <c r="C9" s="276"/>
      <c r="D9" s="228"/>
      <c r="E9" s="202"/>
      <c r="F9" s="198"/>
      <c r="G9" s="262"/>
      <c r="H9" s="255"/>
      <c r="I9" s="249">
        <f t="shared" ref="I9" si="1">G9+H9</f>
        <v>0</v>
      </c>
      <c r="J9" s="279" t="s">
        <v>90</v>
      </c>
      <c r="K9" s="296"/>
      <c r="L9" s="265">
        <f t="shared" ref="L9" si="2">G9+K9</f>
        <v>0</v>
      </c>
      <c r="M9" s="264"/>
      <c r="N9" s="362" t="s">
        <v>95</v>
      </c>
    </row>
    <row r="10" spans="1:14" s="328" customFormat="1" ht="45" customHeight="1" x14ac:dyDescent="0.15">
      <c r="A10" s="331" t="s">
        <v>106</v>
      </c>
      <c r="B10" s="320" t="s">
        <v>102</v>
      </c>
      <c r="C10" s="275"/>
      <c r="D10" s="321"/>
      <c r="E10" s="321"/>
      <c r="F10" s="217"/>
      <c r="G10" s="322">
        <f>SUM(G11:G13)</f>
        <v>0</v>
      </c>
      <c r="H10" s="322">
        <f>SUM(H11:H13)</f>
        <v>0</v>
      </c>
      <c r="I10" s="323">
        <f>SUM(I11:I13)</f>
        <v>0</v>
      </c>
      <c r="J10" s="324"/>
      <c r="K10" s="325">
        <f>SUM(K11:K13)</f>
        <v>0</v>
      </c>
      <c r="L10" s="326">
        <f>SUM(L11:L13)</f>
        <v>0</v>
      </c>
      <c r="M10" s="324"/>
      <c r="N10" s="359" t="s">
        <v>230</v>
      </c>
    </row>
    <row r="11" spans="1:14" ht="45" customHeight="1" x14ac:dyDescent="0.15">
      <c r="A11" s="333" t="s">
        <v>106</v>
      </c>
      <c r="B11" s="277" t="s">
        <v>240</v>
      </c>
      <c r="C11" s="276"/>
      <c r="D11" s="228"/>
      <c r="E11" s="202"/>
      <c r="F11" s="198"/>
      <c r="G11" s="262"/>
      <c r="H11" s="255"/>
      <c r="I11" s="249">
        <f t="shared" ref="I11:I13" si="3">G11+H11</f>
        <v>0</v>
      </c>
      <c r="J11" s="279" t="s">
        <v>90</v>
      </c>
      <c r="K11" s="296"/>
      <c r="L11" s="265">
        <f t="shared" ref="L11:L13" si="4">G11+K11</f>
        <v>0</v>
      </c>
      <c r="M11" s="264"/>
    </row>
    <row r="12" spans="1:14" ht="45" customHeight="1" x14ac:dyDescent="0.15">
      <c r="A12" s="333" t="s">
        <v>106</v>
      </c>
      <c r="B12" s="277" t="s">
        <v>242</v>
      </c>
      <c r="C12" s="276"/>
      <c r="D12" s="228"/>
      <c r="E12" s="202"/>
      <c r="F12" s="198"/>
      <c r="G12" s="262"/>
      <c r="H12" s="255"/>
      <c r="I12" s="249">
        <f t="shared" ref="I12" si="5">G12+H12</f>
        <v>0</v>
      </c>
      <c r="J12" s="279" t="s">
        <v>90</v>
      </c>
      <c r="K12" s="296"/>
      <c r="L12" s="265">
        <f t="shared" ref="L12" si="6">G12+K12</f>
        <v>0</v>
      </c>
      <c r="M12" s="264"/>
    </row>
    <row r="13" spans="1:14" ht="51.75" customHeight="1" x14ac:dyDescent="0.15">
      <c r="A13" s="333" t="s">
        <v>106</v>
      </c>
      <c r="B13" s="277" t="s">
        <v>241</v>
      </c>
      <c r="C13" s="276"/>
      <c r="D13" s="228"/>
      <c r="E13" s="202"/>
      <c r="F13" s="198"/>
      <c r="G13" s="262"/>
      <c r="H13" s="255"/>
      <c r="I13" s="249">
        <f t="shared" si="3"/>
        <v>0</v>
      </c>
      <c r="J13" s="279" t="s">
        <v>90</v>
      </c>
      <c r="K13" s="296"/>
      <c r="L13" s="265">
        <f t="shared" si="4"/>
        <v>0</v>
      </c>
      <c r="M13" s="264"/>
    </row>
  </sheetData>
  <autoFilter ref="A4:M13" xr:uid="{00000000-0009-0000-0000-000017000000}"/>
  <mergeCells count="11">
    <mergeCell ref="A1:M1"/>
    <mergeCell ref="A3:A4"/>
    <mergeCell ref="B3:B4"/>
    <mergeCell ref="C3:C4"/>
    <mergeCell ref="E3:E4"/>
    <mergeCell ref="F3:F4"/>
    <mergeCell ref="G3:G4"/>
    <mergeCell ref="H3:J3"/>
    <mergeCell ref="K3:L3"/>
    <mergeCell ref="M3:M4"/>
    <mergeCell ref="D3:D4"/>
  </mergeCells>
  <phoneticPr fontId="10" type="noConversion"/>
  <pageMargins left="0.31496062992125984" right="0.31496062992125984" top="0.74803149606299213" bottom="0.74803149606299213" header="0.31496062992125984" footer="0.31496062992125984"/>
  <pageSetup paperSize="9" scale="74" fitToHeight="50" orientation="landscape" r:id="rId1"/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7030A0"/>
    <pageSetUpPr fitToPage="1"/>
  </sheetPr>
  <dimension ref="A1:M13"/>
  <sheetViews>
    <sheetView view="pageBreakPreview" zoomScale="96" zoomScaleNormal="93" zoomScaleSheetLayoutView="96" workbookViewId="0">
      <selection activeCell="A2" sqref="A2"/>
    </sheetView>
  </sheetViews>
  <sheetFormatPr defaultRowHeight="13.5" x14ac:dyDescent="0.15"/>
  <cols>
    <col min="1" max="1" width="7.44140625" style="273" customWidth="1"/>
    <col min="2" max="2" width="6.77734375" style="273" customWidth="1"/>
    <col min="3" max="3" width="10" style="273" customWidth="1"/>
    <col min="4" max="4" width="12.44140625" customWidth="1"/>
    <col min="6" max="6" width="21.44140625" customWidth="1"/>
    <col min="7" max="7" width="12.44140625" style="256" customWidth="1"/>
    <col min="8" max="8" width="12.109375" style="256" customWidth="1"/>
    <col min="9" max="9" width="11.109375" customWidth="1"/>
    <col min="10" max="10" width="24.44140625" customWidth="1"/>
    <col min="11" max="11" width="12.109375" style="256" customWidth="1"/>
    <col min="12" max="12" width="11.109375" customWidth="1"/>
    <col min="13" max="13" width="15.21875" customWidth="1"/>
  </cols>
  <sheetData>
    <row r="1" spans="1:13" ht="42.75" customHeight="1" x14ac:dyDescent="0.15">
      <c r="A1" s="627" t="s">
        <v>239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</row>
    <row r="2" spans="1:13" ht="33.75" customHeight="1" thickBot="1" x14ac:dyDescent="0.2">
      <c r="A2" s="271" t="s">
        <v>90</v>
      </c>
      <c r="B2" s="271" t="s">
        <v>90</v>
      </c>
      <c r="C2" s="274"/>
      <c r="D2" s="22"/>
      <c r="E2" s="193"/>
      <c r="F2" s="11"/>
      <c r="G2" s="253"/>
      <c r="H2" s="253"/>
      <c r="I2" s="239"/>
      <c r="J2" s="239"/>
      <c r="K2" s="253"/>
      <c r="L2" s="239"/>
      <c r="M2" s="240" t="s">
        <v>20</v>
      </c>
    </row>
    <row r="3" spans="1:13" ht="35.1" customHeight="1" thickTop="1" x14ac:dyDescent="0.15">
      <c r="A3" s="628" t="s">
        <v>101</v>
      </c>
      <c r="B3" s="630" t="s">
        <v>179</v>
      </c>
      <c r="C3" s="628" t="s">
        <v>14</v>
      </c>
      <c r="D3" s="297" t="s">
        <v>15</v>
      </c>
      <c r="E3" s="644" t="s">
        <v>56</v>
      </c>
      <c r="F3" s="628" t="s">
        <v>177</v>
      </c>
      <c r="G3" s="633" t="s">
        <v>40</v>
      </c>
      <c r="H3" s="635" t="s">
        <v>83</v>
      </c>
      <c r="I3" s="635"/>
      <c r="J3" s="635"/>
      <c r="K3" s="636" t="s">
        <v>178</v>
      </c>
      <c r="L3" s="637"/>
      <c r="M3" s="638" t="s">
        <v>45</v>
      </c>
    </row>
    <row r="4" spans="1:13" ht="35.1" customHeight="1" x14ac:dyDescent="0.15">
      <c r="A4" s="628"/>
      <c r="B4" s="628"/>
      <c r="C4" s="628"/>
      <c r="D4" s="298" t="s">
        <v>55</v>
      </c>
      <c r="E4" s="645"/>
      <c r="F4" s="628"/>
      <c r="G4" s="633"/>
      <c r="H4" s="260" t="s">
        <v>13</v>
      </c>
      <c r="I4" s="280" t="s">
        <v>43</v>
      </c>
      <c r="J4" s="278" t="s">
        <v>52</v>
      </c>
      <c r="K4" s="269" t="s">
        <v>13</v>
      </c>
      <c r="L4" s="270" t="s">
        <v>43</v>
      </c>
      <c r="M4" s="638"/>
    </row>
    <row r="5" spans="1:13" ht="45" customHeight="1" x14ac:dyDescent="0.15">
      <c r="A5" s="272" t="s">
        <v>19</v>
      </c>
      <c r="B5" s="281" t="s">
        <v>23</v>
      </c>
      <c r="C5" s="272"/>
      <c r="D5" s="299"/>
      <c r="E5" s="300"/>
      <c r="F5" s="250"/>
      <c r="G5" s="261">
        <f>SUMIFS(G:G,$B:$B,"* 계")</f>
        <v>0</v>
      </c>
      <c r="H5" s="254">
        <f>SUMIFS(H:H,$B:$B,"* 계")</f>
        <v>0</v>
      </c>
      <c r="I5" s="254">
        <f>SUMIFS(I:I,$B:$B,"* 계")</f>
        <v>0</v>
      </c>
      <c r="J5" s="263"/>
      <c r="K5" s="266">
        <f>SUMIFS(K:K,$B:$B,"* 계")</f>
        <v>0</v>
      </c>
      <c r="L5" s="267">
        <f>SUMIFS(L:L,$B:$B,"* 계")</f>
        <v>0</v>
      </c>
      <c r="M5" s="268"/>
    </row>
    <row r="6" spans="1:13" ht="45" customHeight="1" x14ac:dyDescent="0.15">
      <c r="A6" s="331" t="s">
        <v>180</v>
      </c>
      <c r="B6" s="331" t="s">
        <v>183</v>
      </c>
      <c r="C6" s="275"/>
      <c r="D6" s="301"/>
      <c r="E6" s="301"/>
      <c r="F6" s="214"/>
      <c r="G6" s="302">
        <f>SUMIFS(G:G, $A:$A,"도시교통위원회", $B:$B, "상수도특별회계")</f>
        <v>0</v>
      </c>
      <c r="H6" s="303">
        <f>SUMIFS(H:H, $A:$A,"도시교통위원회", $B:$B, "상수도특별회계")</f>
        <v>0</v>
      </c>
      <c r="I6" s="303">
        <f>SUMIFS(I:I, $A:$A,"도시교통위원회", $B:$B, "상수도특별회계")</f>
        <v>0</v>
      </c>
      <c r="J6" s="304"/>
      <c r="K6" s="305">
        <f>SUMIFS(K:K, $A:$A,"도시교통위원회", $B:$B, "상수도특별회계")</f>
        <v>0</v>
      </c>
      <c r="L6" s="306">
        <f>SUMIFS(L:L, $A:$A,"도시교통위원회", $B:$B, "상수도특별회계")</f>
        <v>0</v>
      </c>
      <c r="M6" s="304"/>
    </row>
    <row r="7" spans="1:13" ht="45" customHeight="1" x14ac:dyDescent="0.15">
      <c r="A7" s="332" t="s">
        <v>106</v>
      </c>
      <c r="B7" s="332" t="s">
        <v>181</v>
      </c>
      <c r="C7" s="276"/>
      <c r="D7" s="307"/>
      <c r="E7" s="308"/>
      <c r="F7" s="198"/>
      <c r="G7" s="309"/>
      <c r="H7" s="310"/>
      <c r="I7" s="311">
        <f>G7+H7</f>
        <v>0</v>
      </c>
      <c r="J7" s="312" t="s">
        <v>90</v>
      </c>
      <c r="K7" s="313"/>
      <c r="L7" s="314">
        <f t="shared" ref="L7:L9" si="0">G7+K7</f>
        <v>0</v>
      </c>
      <c r="M7" s="315"/>
    </row>
    <row r="8" spans="1:13" ht="45" customHeight="1" x14ac:dyDescent="0.15">
      <c r="A8" s="332" t="s">
        <v>106</v>
      </c>
      <c r="B8" s="332" t="s">
        <v>181</v>
      </c>
      <c r="C8" s="276"/>
      <c r="D8" s="307"/>
      <c r="E8" s="308"/>
      <c r="F8" s="198"/>
      <c r="G8" s="309"/>
      <c r="H8" s="310"/>
      <c r="I8" s="311">
        <f t="shared" ref="I8:I13" si="1">G8+H8</f>
        <v>0</v>
      </c>
      <c r="J8" s="312" t="s">
        <v>90</v>
      </c>
      <c r="K8" s="313"/>
      <c r="L8" s="314">
        <f t="shared" si="0"/>
        <v>0</v>
      </c>
      <c r="M8" s="315"/>
    </row>
    <row r="9" spans="1:13" ht="45" customHeight="1" x14ac:dyDescent="0.15">
      <c r="A9" s="332" t="s">
        <v>106</v>
      </c>
      <c r="B9" s="332" t="s">
        <v>181</v>
      </c>
      <c r="C9" s="276"/>
      <c r="D9" s="307"/>
      <c r="E9" s="308"/>
      <c r="F9" s="198"/>
      <c r="G9" s="309"/>
      <c r="H9" s="310"/>
      <c r="I9" s="311">
        <f t="shared" si="1"/>
        <v>0</v>
      </c>
      <c r="J9" s="312" t="s">
        <v>90</v>
      </c>
      <c r="K9" s="313"/>
      <c r="L9" s="314">
        <f t="shared" si="0"/>
        <v>0</v>
      </c>
      <c r="M9" s="315"/>
    </row>
    <row r="10" spans="1:13" ht="45" customHeight="1" x14ac:dyDescent="0.15">
      <c r="A10" s="331" t="s">
        <v>180</v>
      </c>
      <c r="B10" s="320" t="s">
        <v>184</v>
      </c>
      <c r="C10" s="275"/>
      <c r="D10" s="301"/>
      <c r="E10" s="301"/>
      <c r="F10" s="214"/>
      <c r="G10" s="302">
        <f>SUMIFS(G:G, $A:$A,"도시교통위원회", $B:$B, "하수도특별회계")</f>
        <v>0</v>
      </c>
      <c r="H10" s="303">
        <f>SUMIFS(H:H, $A:$A,"도시교통위원회", $B:$B, "하수도특별회계")</f>
        <v>0</v>
      </c>
      <c r="I10" s="303">
        <f>SUMIFS(I:I, $A:$A,"도시교통위원회", $B:$B, "하수도특별회계")</f>
        <v>0</v>
      </c>
      <c r="J10" s="304"/>
      <c r="K10" s="305">
        <f>SUMIFS(K:K, $A:$A,"도시교통위원회", $B:$B, "하수도특별회계")</f>
        <v>0</v>
      </c>
      <c r="L10" s="306">
        <f>SUMIFS(L:L, $A:$A,"도시교통위원회", $B:$B, "하수도특별회계")</f>
        <v>0</v>
      </c>
      <c r="M10" s="304"/>
    </row>
    <row r="11" spans="1:13" ht="45" customHeight="1" x14ac:dyDescent="0.15">
      <c r="A11" s="332" t="s">
        <v>180</v>
      </c>
      <c r="B11" s="332" t="s">
        <v>182</v>
      </c>
      <c r="C11" s="276"/>
      <c r="D11" s="307"/>
      <c r="E11" s="308"/>
      <c r="F11" s="198"/>
      <c r="G11" s="309"/>
      <c r="H11" s="310"/>
      <c r="I11" s="311">
        <f t="shared" si="1"/>
        <v>0</v>
      </c>
      <c r="J11" s="312" t="s">
        <v>90</v>
      </c>
      <c r="K11" s="313"/>
      <c r="L11" s="314">
        <f t="shared" ref="L11:L13" si="2">G11+K11</f>
        <v>0</v>
      </c>
      <c r="M11" s="315"/>
    </row>
    <row r="12" spans="1:13" ht="45" customHeight="1" x14ac:dyDescent="0.15">
      <c r="A12" s="332" t="s">
        <v>180</v>
      </c>
      <c r="B12" s="332" t="s">
        <v>182</v>
      </c>
      <c r="C12" s="276"/>
      <c r="D12" s="307"/>
      <c r="E12" s="308"/>
      <c r="F12" s="198"/>
      <c r="G12" s="309"/>
      <c r="H12" s="310"/>
      <c r="I12" s="311">
        <f t="shared" si="1"/>
        <v>0</v>
      </c>
      <c r="J12" s="312" t="s">
        <v>90</v>
      </c>
      <c r="K12" s="313"/>
      <c r="L12" s="314">
        <f t="shared" si="2"/>
        <v>0</v>
      </c>
      <c r="M12" s="315"/>
    </row>
    <row r="13" spans="1:13" ht="45" customHeight="1" x14ac:dyDescent="0.15">
      <c r="A13" s="332" t="s">
        <v>180</v>
      </c>
      <c r="B13" s="332" t="s">
        <v>182</v>
      </c>
      <c r="C13" s="276"/>
      <c r="D13" s="307"/>
      <c r="E13" s="308"/>
      <c r="F13" s="198"/>
      <c r="G13" s="309"/>
      <c r="H13" s="310"/>
      <c r="I13" s="311">
        <f t="shared" si="1"/>
        <v>0</v>
      </c>
      <c r="J13" s="312" t="s">
        <v>90</v>
      </c>
      <c r="K13" s="313"/>
      <c r="L13" s="314">
        <f t="shared" si="2"/>
        <v>0</v>
      </c>
      <c r="M13" s="315"/>
    </row>
  </sheetData>
  <autoFilter ref="A4:M13" xr:uid="{00000000-0009-0000-0000-000018000000}"/>
  <mergeCells count="10">
    <mergeCell ref="A1:M1"/>
    <mergeCell ref="A3:A4"/>
    <mergeCell ref="B3:B4"/>
    <mergeCell ref="C3:C4"/>
    <mergeCell ref="E3:E4"/>
    <mergeCell ref="F3:F4"/>
    <mergeCell ref="G3:G4"/>
    <mergeCell ref="H3:J3"/>
    <mergeCell ref="K3:L3"/>
    <mergeCell ref="M3:M4"/>
  </mergeCells>
  <phoneticPr fontId="10" type="noConversion"/>
  <pageMargins left="0.31496062992125984" right="0.31496062992125984" top="0.74803149606299213" bottom="0.74803149606299213" header="0.31496062992125984" footer="0.31496062992125984"/>
  <pageSetup paperSize="9" scale="74" fitToHeight="50" orientation="landscape"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7030A0"/>
    <pageSetUpPr fitToPage="1"/>
  </sheetPr>
  <dimension ref="A1:M13"/>
  <sheetViews>
    <sheetView view="pageBreakPreview" zoomScale="96" zoomScaleNormal="93" zoomScaleSheetLayoutView="96" workbookViewId="0">
      <selection sqref="A1:M1"/>
    </sheetView>
  </sheetViews>
  <sheetFormatPr defaultRowHeight="13.5" x14ac:dyDescent="0.15"/>
  <cols>
    <col min="1" max="1" width="7.44140625" style="273" customWidth="1"/>
    <col min="2" max="2" width="6.77734375" style="273" customWidth="1"/>
    <col min="3" max="3" width="10" style="273" customWidth="1"/>
    <col min="4" max="4" width="12.44140625" customWidth="1"/>
    <col min="6" max="6" width="21.44140625" customWidth="1"/>
    <col min="7" max="7" width="12.44140625" style="256" customWidth="1"/>
    <col min="8" max="8" width="12.109375" style="256" customWidth="1"/>
    <col min="9" max="9" width="11.109375" customWidth="1"/>
    <col min="10" max="10" width="24.44140625" customWidth="1"/>
    <col min="11" max="11" width="12.109375" style="256" customWidth="1"/>
    <col min="12" max="12" width="11.109375" customWidth="1"/>
    <col min="13" max="13" width="15.21875" customWidth="1"/>
  </cols>
  <sheetData>
    <row r="1" spans="1:13" ht="42.75" customHeight="1" x14ac:dyDescent="0.15">
      <c r="A1" s="627" t="s">
        <v>248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</row>
    <row r="2" spans="1:13" ht="33.75" customHeight="1" thickBot="1" x14ac:dyDescent="0.2">
      <c r="A2" s="271" t="s">
        <v>90</v>
      </c>
      <c r="B2" s="271" t="s">
        <v>90</v>
      </c>
      <c r="C2" s="274"/>
      <c r="D2" s="22"/>
      <c r="E2" s="193"/>
      <c r="F2" s="11"/>
      <c r="G2" s="253"/>
      <c r="H2" s="253"/>
      <c r="I2" s="239"/>
      <c r="J2" s="239"/>
      <c r="K2" s="253"/>
      <c r="L2" s="239"/>
      <c r="M2" s="240" t="s">
        <v>20</v>
      </c>
    </row>
    <row r="3" spans="1:13" ht="35.1" customHeight="1" thickTop="1" x14ac:dyDescent="0.15">
      <c r="A3" s="628" t="s">
        <v>101</v>
      </c>
      <c r="B3" s="630" t="s">
        <v>179</v>
      </c>
      <c r="C3" s="628" t="s">
        <v>14</v>
      </c>
      <c r="D3" s="642" t="s">
        <v>55</v>
      </c>
      <c r="E3" s="631" t="s">
        <v>56</v>
      </c>
      <c r="F3" s="640" t="s">
        <v>243</v>
      </c>
      <c r="G3" s="633" t="s">
        <v>40</v>
      </c>
      <c r="H3" s="635" t="s">
        <v>83</v>
      </c>
      <c r="I3" s="635"/>
      <c r="J3" s="635"/>
      <c r="K3" s="636" t="s">
        <v>178</v>
      </c>
      <c r="L3" s="637"/>
      <c r="M3" s="638" t="s">
        <v>45</v>
      </c>
    </row>
    <row r="4" spans="1:13" ht="35.1" customHeight="1" x14ac:dyDescent="0.15">
      <c r="A4" s="628"/>
      <c r="B4" s="628"/>
      <c r="C4" s="628"/>
      <c r="D4" s="643"/>
      <c r="E4" s="650"/>
      <c r="F4" s="641"/>
      <c r="G4" s="633"/>
      <c r="H4" s="260" t="s">
        <v>13</v>
      </c>
      <c r="I4" s="280" t="s">
        <v>43</v>
      </c>
      <c r="J4" s="278" t="s">
        <v>52</v>
      </c>
      <c r="K4" s="269" t="s">
        <v>13</v>
      </c>
      <c r="L4" s="270" t="s">
        <v>43</v>
      </c>
      <c r="M4" s="638"/>
    </row>
    <row r="5" spans="1:13" ht="45" customHeight="1" x14ac:dyDescent="0.15">
      <c r="A5" s="272" t="s">
        <v>19</v>
      </c>
      <c r="B5" s="281" t="s">
        <v>23</v>
      </c>
      <c r="C5" s="272"/>
      <c r="D5" s="252"/>
      <c r="E5" s="252"/>
      <c r="F5" s="250"/>
      <c r="G5" s="382">
        <f>SUMIFS(G:G,$B:$B,"* 계")</f>
        <v>0</v>
      </c>
      <c r="H5" s="383">
        <f>SUMIFS(H:H,$B:$B,"* 계")</f>
        <v>0</v>
      </c>
      <c r="I5" s="383">
        <f>SUMIFS(I:I,$B:$B,"* 계")</f>
        <v>0</v>
      </c>
      <c r="J5" s="263"/>
      <c r="K5" s="378">
        <f>SUMIFS(K:K,$B:$B,"* 계")</f>
        <v>0</v>
      </c>
      <c r="L5" s="379">
        <f>SUMIFS(L:L,$B:$B,"* 계")</f>
        <v>0</v>
      </c>
      <c r="M5" s="268"/>
    </row>
    <row r="6" spans="1:13" ht="45" customHeight="1" x14ac:dyDescent="0.15">
      <c r="A6" s="331" t="s">
        <v>180</v>
      </c>
      <c r="B6" s="331" t="s">
        <v>183</v>
      </c>
      <c r="C6" s="372"/>
      <c r="D6" s="373"/>
      <c r="E6" s="373"/>
      <c r="F6" s="217"/>
      <c r="G6" s="384">
        <f>SUMIFS(G:G, $A:$A,"도시교통위원회", $B:$B, "상수도특별회계")</f>
        <v>0</v>
      </c>
      <c r="H6" s="385">
        <f>SUMIFS(H:H, $A:$A,"도시교통위원회", $B:$B, "상수도특별회계")</f>
        <v>0</v>
      </c>
      <c r="I6" s="385">
        <f>SUMIFS(I:I, $A:$A,"도시교통위원회", $B:$B, "상수도특별회계")</f>
        <v>0</v>
      </c>
      <c r="J6" s="324"/>
      <c r="K6" s="369">
        <f>SUMIFS(K:K, $A:$A,"도시교통위원회", $B:$B, "상수도특별회계")</f>
        <v>0</v>
      </c>
      <c r="L6" s="370">
        <f>SUMIFS(L:L, $A:$A,"도시교통위원회", $B:$B, "상수도특별회계")</f>
        <v>0</v>
      </c>
      <c r="M6" s="324"/>
    </row>
    <row r="7" spans="1:13" ht="45" customHeight="1" x14ac:dyDescent="0.15">
      <c r="A7" s="332" t="s">
        <v>106</v>
      </c>
      <c r="B7" s="332" t="s">
        <v>181</v>
      </c>
      <c r="C7" s="374"/>
      <c r="D7" s="375"/>
      <c r="E7" s="376"/>
      <c r="F7" s="198"/>
      <c r="G7" s="386"/>
      <c r="H7" s="387"/>
      <c r="I7" s="388">
        <f>G7+H7</f>
        <v>0</v>
      </c>
      <c r="J7" s="377" t="s">
        <v>90</v>
      </c>
      <c r="K7" s="380"/>
      <c r="L7" s="381">
        <f t="shared" ref="L7:L9" si="0">G7+K7</f>
        <v>0</v>
      </c>
      <c r="M7" s="264"/>
    </row>
    <row r="8" spans="1:13" ht="45" customHeight="1" x14ac:dyDescent="0.15">
      <c r="A8" s="332" t="s">
        <v>106</v>
      </c>
      <c r="B8" s="332" t="s">
        <v>181</v>
      </c>
      <c r="C8" s="374"/>
      <c r="D8" s="375"/>
      <c r="E8" s="376"/>
      <c r="F8" s="198"/>
      <c r="G8" s="386"/>
      <c r="H8" s="387"/>
      <c r="I8" s="388">
        <f t="shared" ref="I8:I13" si="1">G8+H8</f>
        <v>0</v>
      </c>
      <c r="J8" s="377" t="s">
        <v>90</v>
      </c>
      <c r="K8" s="380"/>
      <c r="L8" s="381">
        <f t="shared" si="0"/>
        <v>0</v>
      </c>
      <c r="M8" s="264"/>
    </row>
    <row r="9" spans="1:13" ht="45" customHeight="1" x14ac:dyDescent="0.15">
      <c r="A9" s="332" t="s">
        <v>106</v>
      </c>
      <c r="B9" s="332" t="s">
        <v>181</v>
      </c>
      <c r="C9" s="374"/>
      <c r="D9" s="375"/>
      <c r="E9" s="376"/>
      <c r="F9" s="198"/>
      <c r="G9" s="386"/>
      <c r="H9" s="387"/>
      <c r="I9" s="388">
        <f t="shared" si="1"/>
        <v>0</v>
      </c>
      <c r="J9" s="377" t="s">
        <v>90</v>
      </c>
      <c r="K9" s="380"/>
      <c r="L9" s="381">
        <f t="shared" si="0"/>
        <v>0</v>
      </c>
      <c r="M9" s="264"/>
    </row>
    <row r="10" spans="1:13" ht="45" customHeight="1" x14ac:dyDescent="0.15">
      <c r="A10" s="331" t="s">
        <v>180</v>
      </c>
      <c r="B10" s="320" t="s">
        <v>184</v>
      </c>
      <c r="C10" s="372"/>
      <c r="D10" s="373"/>
      <c r="E10" s="373"/>
      <c r="F10" s="217"/>
      <c r="G10" s="384">
        <f>SUMIFS(G:G, $A:$A,"도시교통위원회", $B:$B, "하수도특별회계")</f>
        <v>0</v>
      </c>
      <c r="H10" s="385">
        <f>SUMIFS(H:H, $A:$A,"도시교통위원회", $B:$B, "하수도특별회계")</f>
        <v>0</v>
      </c>
      <c r="I10" s="385">
        <f>SUMIFS(I:I, $A:$A,"도시교통위원회", $B:$B, "하수도특별회계")</f>
        <v>0</v>
      </c>
      <c r="J10" s="324"/>
      <c r="K10" s="369">
        <f>SUMIFS(K:K, $A:$A,"도시교통위원회", $B:$B, "하수도특별회계")</f>
        <v>0</v>
      </c>
      <c r="L10" s="370">
        <f>SUMIFS(L:L, $A:$A,"도시교통위원회", $B:$B, "하수도특별회계")</f>
        <v>0</v>
      </c>
      <c r="M10" s="324"/>
    </row>
    <row r="11" spans="1:13" ht="45" customHeight="1" x14ac:dyDescent="0.15">
      <c r="A11" s="332" t="s">
        <v>180</v>
      </c>
      <c r="B11" s="332" t="s">
        <v>182</v>
      </c>
      <c r="C11" s="374"/>
      <c r="D11" s="375"/>
      <c r="E11" s="376"/>
      <c r="F11" s="198"/>
      <c r="G11" s="386"/>
      <c r="H11" s="387"/>
      <c r="I11" s="388">
        <f t="shared" si="1"/>
        <v>0</v>
      </c>
      <c r="J11" s="377" t="s">
        <v>90</v>
      </c>
      <c r="K11" s="380"/>
      <c r="L11" s="381">
        <f t="shared" ref="L11:L13" si="2">G11+K11</f>
        <v>0</v>
      </c>
      <c r="M11" s="264"/>
    </row>
    <row r="12" spans="1:13" ht="45" customHeight="1" x14ac:dyDescent="0.15">
      <c r="A12" s="332" t="s">
        <v>180</v>
      </c>
      <c r="B12" s="332" t="s">
        <v>182</v>
      </c>
      <c r="C12" s="374"/>
      <c r="D12" s="375"/>
      <c r="E12" s="376"/>
      <c r="F12" s="198"/>
      <c r="G12" s="386"/>
      <c r="H12" s="387"/>
      <c r="I12" s="388">
        <f t="shared" si="1"/>
        <v>0</v>
      </c>
      <c r="J12" s="377" t="s">
        <v>90</v>
      </c>
      <c r="K12" s="380"/>
      <c r="L12" s="381">
        <f t="shared" si="2"/>
        <v>0</v>
      </c>
      <c r="M12" s="264"/>
    </row>
    <row r="13" spans="1:13" ht="45" customHeight="1" x14ac:dyDescent="0.15">
      <c r="A13" s="332" t="s">
        <v>180</v>
      </c>
      <c r="B13" s="332" t="s">
        <v>182</v>
      </c>
      <c r="C13" s="374"/>
      <c r="D13" s="375"/>
      <c r="E13" s="376"/>
      <c r="F13" s="198"/>
      <c r="G13" s="386"/>
      <c r="H13" s="387"/>
      <c r="I13" s="388">
        <f t="shared" si="1"/>
        <v>0</v>
      </c>
      <c r="J13" s="377" t="s">
        <v>90</v>
      </c>
      <c r="K13" s="380"/>
      <c r="L13" s="381">
        <f t="shared" si="2"/>
        <v>0</v>
      </c>
      <c r="M13" s="264"/>
    </row>
  </sheetData>
  <autoFilter ref="A4:M13" xr:uid="{00000000-0009-0000-0000-000019000000}"/>
  <mergeCells count="11">
    <mergeCell ref="A1:M1"/>
    <mergeCell ref="A3:A4"/>
    <mergeCell ref="B3:B4"/>
    <mergeCell ref="C3:C4"/>
    <mergeCell ref="E3:E4"/>
    <mergeCell ref="F3:F4"/>
    <mergeCell ref="G3:G4"/>
    <mergeCell ref="H3:J3"/>
    <mergeCell ref="K3:L3"/>
    <mergeCell ref="M3:M4"/>
    <mergeCell ref="D3:D4"/>
  </mergeCells>
  <phoneticPr fontId="10" type="noConversion"/>
  <pageMargins left="0.31496062992125984" right="0.31496062992125984" top="0.74803149606299213" bottom="0.74803149606299213" header="0.31496062992125984" footer="0.31496062992125984"/>
  <pageSetup paperSize="9" scale="74" fitToHeight="50" orientation="landscape"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232FE"/>
  </sheetPr>
  <dimension ref="A1:O12"/>
  <sheetViews>
    <sheetView view="pageBreakPreview" zoomScale="96" zoomScaleNormal="93" zoomScaleSheetLayoutView="96" workbookViewId="0">
      <selection sqref="A1:M1"/>
    </sheetView>
  </sheetViews>
  <sheetFormatPr defaultRowHeight="13.5" x14ac:dyDescent="0.15"/>
  <cols>
    <col min="1" max="1" width="7.44140625" style="273" customWidth="1"/>
    <col min="2" max="2" width="10.5546875" style="273" customWidth="1"/>
    <col min="3" max="3" width="10" style="273" customWidth="1"/>
    <col min="4" max="4" width="12.44140625" customWidth="1"/>
    <col min="6" max="6" width="21.44140625" customWidth="1"/>
    <col min="7" max="7" width="12.44140625" style="256" customWidth="1"/>
    <col min="8" max="8" width="12.109375" style="256" customWidth="1"/>
    <col min="9" max="9" width="11.109375" customWidth="1"/>
    <col min="10" max="10" width="24.44140625" customWidth="1"/>
    <col min="11" max="11" width="12.109375" style="256" customWidth="1"/>
    <col min="12" max="12" width="11.109375" customWidth="1"/>
    <col min="13" max="13" width="15.21875" customWidth="1"/>
  </cols>
  <sheetData>
    <row r="1" spans="1:15" ht="42.75" customHeight="1" x14ac:dyDescent="0.15">
      <c r="A1" s="627" t="s">
        <v>249</v>
      </c>
      <c r="B1" s="627"/>
      <c r="C1" s="627"/>
      <c r="D1" s="627"/>
      <c r="E1" s="627"/>
      <c r="F1" s="627"/>
      <c r="G1" s="627"/>
      <c r="H1" s="627"/>
      <c r="I1" s="627"/>
      <c r="J1" s="627"/>
      <c r="K1" s="627"/>
      <c r="L1" s="627"/>
      <c r="M1" s="627"/>
    </row>
    <row r="2" spans="1:15" ht="33.75" customHeight="1" thickBot="1" x14ac:dyDescent="0.2">
      <c r="A2" s="271" t="s">
        <v>90</v>
      </c>
      <c r="B2" s="271" t="s">
        <v>90</v>
      </c>
      <c r="C2" s="274"/>
      <c r="D2" s="22"/>
      <c r="E2" s="193"/>
      <c r="F2" s="11"/>
      <c r="G2" s="253"/>
      <c r="H2" s="253"/>
      <c r="I2" s="239"/>
      <c r="J2" s="239"/>
      <c r="K2" s="253"/>
      <c r="L2" s="239"/>
      <c r="M2" s="240" t="s">
        <v>20</v>
      </c>
    </row>
    <row r="3" spans="1:15" ht="30" customHeight="1" x14ac:dyDescent="0.15">
      <c r="A3" s="628" t="s">
        <v>101</v>
      </c>
      <c r="B3" s="630" t="s">
        <v>179</v>
      </c>
      <c r="C3" s="628" t="s">
        <v>14</v>
      </c>
      <c r="D3" s="642" t="s">
        <v>55</v>
      </c>
      <c r="E3" s="631" t="s">
        <v>227</v>
      </c>
      <c r="F3" s="640" t="s">
        <v>243</v>
      </c>
      <c r="G3" s="633" t="s">
        <v>40</v>
      </c>
      <c r="H3" s="635" t="s">
        <v>83</v>
      </c>
      <c r="I3" s="635"/>
      <c r="J3" s="652"/>
      <c r="K3" s="653" t="s">
        <v>178</v>
      </c>
      <c r="L3" s="654"/>
      <c r="M3" s="638" t="s">
        <v>45</v>
      </c>
    </row>
    <row r="4" spans="1:15" ht="30" customHeight="1" x14ac:dyDescent="0.15">
      <c r="A4" s="628"/>
      <c r="B4" s="628"/>
      <c r="C4" s="628"/>
      <c r="D4" s="643"/>
      <c r="E4" s="650"/>
      <c r="F4" s="641"/>
      <c r="G4" s="633"/>
      <c r="H4" s="260" t="s">
        <v>13</v>
      </c>
      <c r="I4" s="280" t="s">
        <v>43</v>
      </c>
      <c r="J4" s="485" t="s">
        <v>52</v>
      </c>
      <c r="K4" s="487" t="s">
        <v>13</v>
      </c>
      <c r="L4" s="488" t="s">
        <v>43</v>
      </c>
      <c r="M4" s="638"/>
    </row>
    <row r="5" spans="1:15" ht="30" customHeight="1" x14ac:dyDescent="0.15">
      <c r="A5" s="272" t="s">
        <v>19</v>
      </c>
      <c r="B5" s="281" t="s">
        <v>186</v>
      </c>
      <c r="C5" s="272"/>
      <c r="D5" s="251"/>
      <c r="E5" s="252"/>
      <c r="F5" s="250"/>
      <c r="G5" s="261">
        <f>SUMIFS(G:G,$B:$B,"* 계")</f>
        <v>0</v>
      </c>
      <c r="H5" s="254">
        <f>SUMIFS(H:H,$B:$B,"* 계")</f>
        <v>0</v>
      </c>
      <c r="I5" s="254">
        <f>SUMIFS(I:I,$B:$B,"* 계")</f>
        <v>0</v>
      </c>
      <c r="J5" s="486"/>
      <c r="K5" s="489">
        <f>SUMIFS(K:K,$B:$B,"* 계")</f>
        <v>0</v>
      </c>
      <c r="L5" s="490">
        <f>SUMIFS(L:L,$B:$B,"* 계")</f>
        <v>0</v>
      </c>
      <c r="M5" s="283"/>
    </row>
    <row r="6" spans="1:15" s="328" customFormat="1" ht="30" customHeight="1" x14ac:dyDescent="0.15">
      <c r="A6" s="320" t="s">
        <v>104</v>
      </c>
      <c r="B6" s="320" t="s">
        <v>102</v>
      </c>
      <c r="C6" s="275"/>
      <c r="D6" s="321"/>
      <c r="E6" s="321"/>
      <c r="F6" s="217"/>
      <c r="G6" s="322">
        <f>SUM(G7:G7)</f>
        <v>0</v>
      </c>
      <c r="H6" s="322">
        <f>SUM(H7:H7)</f>
        <v>0</v>
      </c>
      <c r="I6" s="323">
        <f>SUM(I7:I7)</f>
        <v>0</v>
      </c>
      <c r="J6" s="484"/>
      <c r="K6" s="491">
        <f>SUM(K7:K7)</f>
        <v>0</v>
      </c>
      <c r="L6" s="492">
        <f>SUM(L7:L7)</f>
        <v>0</v>
      </c>
      <c r="M6" s="327"/>
      <c r="O6"/>
    </row>
    <row r="7" spans="1:15" s="482" customFormat="1" ht="50.1" customHeight="1" x14ac:dyDescent="0.15">
      <c r="A7" s="319" t="s">
        <v>104</v>
      </c>
      <c r="B7" s="330" t="s">
        <v>219</v>
      </c>
      <c r="C7" s="276"/>
      <c r="D7" s="228"/>
      <c r="E7" s="202"/>
      <c r="F7" s="198"/>
      <c r="G7" s="262"/>
      <c r="H7" s="255"/>
      <c r="I7" s="249">
        <f>G7+H7</f>
        <v>0</v>
      </c>
      <c r="J7" s="497" t="s">
        <v>90</v>
      </c>
      <c r="K7" s="493"/>
      <c r="L7" s="494">
        <f t="shared" ref="L7" si="0">G7+K7</f>
        <v>0</v>
      </c>
      <c r="M7" s="284"/>
    </row>
    <row r="8" spans="1:15" s="328" customFormat="1" ht="30" customHeight="1" x14ac:dyDescent="0.15">
      <c r="A8" s="320" t="s">
        <v>105</v>
      </c>
      <c r="B8" s="320" t="s">
        <v>102</v>
      </c>
      <c r="C8" s="275"/>
      <c r="D8" s="321"/>
      <c r="E8" s="321"/>
      <c r="F8" s="217"/>
      <c r="G8" s="322">
        <f>SUM(G9:G9)</f>
        <v>0</v>
      </c>
      <c r="H8" s="322">
        <f>SUM(H9:H9)</f>
        <v>0</v>
      </c>
      <c r="I8" s="322">
        <f>SUM(I9:I9)</f>
        <v>0</v>
      </c>
      <c r="J8" s="484"/>
      <c r="K8" s="491">
        <f>SUM(K9:K9)</f>
        <v>0</v>
      </c>
      <c r="L8" s="492">
        <f>SUM(L9:L9)</f>
        <v>0</v>
      </c>
      <c r="M8" s="327"/>
      <c r="O8"/>
    </row>
    <row r="9" spans="1:15" s="482" customFormat="1" ht="50.1" customHeight="1" x14ac:dyDescent="0.15">
      <c r="A9" s="319" t="s">
        <v>105</v>
      </c>
      <c r="B9" s="329" t="s">
        <v>250</v>
      </c>
      <c r="C9" s="276"/>
      <c r="D9" s="228"/>
      <c r="E9" s="202"/>
      <c r="F9" s="198"/>
      <c r="G9" s="262"/>
      <c r="H9" s="255"/>
      <c r="I9" s="249">
        <f t="shared" ref="I9" si="1">G9+H9</f>
        <v>0</v>
      </c>
      <c r="J9" s="497" t="s">
        <v>90</v>
      </c>
      <c r="K9" s="493"/>
      <c r="L9" s="494">
        <f t="shared" ref="L9" si="2">G9+K9</f>
        <v>0</v>
      </c>
      <c r="M9" s="284"/>
    </row>
    <row r="10" spans="1:15" s="328" customFormat="1" ht="30" customHeight="1" x14ac:dyDescent="0.15">
      <c r="A10" s="320" t="s">
        <v>106</v>
      </c>
      <c r="B10" s="320" t="s">
        <v>102</v>
      </c>
      <c r="C10" s="275"/>
      <c r="D10" s="321"/>
      <c r="E10" s="321"/>
      <c r="F10" s="217"/>
      <c r="G10" s="322">
        <f>SUM(G11:G12)</f>
        <v>0</v>
      </c>
      <c r="H10" s="323">
        <f>SUM(H11:H12)</f>
        <v>0</v>
      </c>
      <c r="I10" s="323">
        <f>SUM(I11:I12)</f>
        <v>0</v>
      </c>
      <c r="J10" s="484"/>
      <c r="K10" s="491">
        <f>SUM(K11:K12)</f>
        <v>0</v>
      </c>
      <c r="L10" s="492">
        <f>SUM(L11:L12)</f>
        <v>0</v>
      </c>
      <c r="M10" s="285"/>
      <c r="O10"/>
    </row>
    <row r="11" spans="1:15" s="482" customFormat="1" ht="50.1" customHeight="1" x14ac:dyDescent="0.15">
      <c r="A11" s="319" t="s">
        <v>106</v>
      </c>
      <c r="B11" s="329" t="s">
        <v>226</v>
      </c>
      <c r="C11" s="276"/>
      <c r="D11" s="228"/>
      <c r="E11" s="202"/>
      <c r="F11" s="198"/>
      <c r="G11" s="262"/>
      <c r="H11" s="255"/>
      <c r="I11" s="249">
        <f t="shared" ref="I11:I12" si="3">G11+H11</f>
        <v>0</v>
      </c>
      <c r="J11" s="497" t="s">
        <v>90</v>
      </c>
      <c r="K11" s="493"/>
      <c r="L11" s="494">
        <f t="shared" ref="L11:L12" si="4">G11+K11</f>
        <v>0</v>
      </c>
      <c r="M11" s="284"/>
      <c r="O11" s="483"/>
    </row>
    <row r="12" spans="1:15" s="482" customFormat="1" ht="50.1" customHeight="1" thickBot="1" x14ac:dyDescent="0.2">
      <c r="A12" s="319" t="s">
        <v>106</v>
      </c>
      <c r="B12" s="329" t="s">
        <v>185</v>
      </c>
      <c r="C12" s="276"/>
      <c r="D12" s="228"/>
      <c r="E12" s="202"/>
      <c r="F12" s="198"/>
      <c r="G12" s="262"/>
      <c r="H12" s="255"/>
      <c r="I12" s="249">
        <f t="shared" si="3"/>
        <v>0</v>
      </c>
      <c r="J12" s="497" t="s">
        <v>90</v>
      </c>
      <c r="K12" s="495"/>
      <c r="L12" s="496">
        <f t="shared" si="4"/>
        <v>0</v>
      </c>
      <c r="M12" s="284"/>
    </row>
  </sheetData>
  <autoFilter ref="A4:M12" xr:uid="{00000000-0009-0000-0000-00001A000000}"/>
  <mergeCells count="11">
    <mergeCell ref="A1:M1"/>
    <mergeCell ref="A3:A4"/>
    <mergeCell ref="B3:B4"/>
    <mergeCell ref="C3:C4"/>
    <mergeCell ref="E3:E4"/>
    <mergeCell ref="F3:F4"/>
    <mergeCell ref="G3:G4"/>
    <mergeCell ref="H3:J3"/>
    <mergeCell ref="K3:L3"/>
    <mergeCell ref="M3:M4"/>
    <mergeCell ref="D3:D4"/>
  </mergeCells>
  <phoneticPr fontId="10" type="noConversion"/>
  <pageMargins left="0.31496062992125984" right="0.31496062992125984" top="0.74803149606299213" bottom="0.74803149606299213" header="0.31496062992125984" footer="0.31496062992125984"/>
  <pageSetup paperSize="9" scale="70" fitToHeight="50" orientation="landscape" r:id="rId1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P41"/>
  <sheetViews>
    <sheetView zoomScale="85" zoomScaleNormal="85" workbookViewId="0">
      <selection sqref="A1:P1"/>
    </sheetView>
  </sheetViews>
  <sheetFormatPr defaultRowHeight="13.5" x14ac:dyDescent="0.15"/>
  <cols>
    <col min="1" max="1" width="5.21875" style="498" customWidth="1"/>
    <col min="2" max="2" width="1.77734375" style="498" customWidth="1"/>
    <col min="3" max="3" width="21.88671875" style="498" customWidth="1"/>
    <col min="4" max="4" width="13.6640625" style="498" bestFit="1" customWidth="1"/>
    <col min="5" max="6" width="11.77734375" style="498" customWidth="1"/>
    <col min="7" max="7" width="2.6640625" style="498" customWidth="1"/>
    <col min="8" max="8" width="9.5546875" style="498" customWidth="1"/>
    <col min="9" max="16" width="12.44140625" style="498" customWidth="1"/>
    <col min="17" max="16384" width="8.88671875" style="498"/>
  </cols>
  <sheetData>
    <row r="1" spans="1:16" ht="45" customHeight="1" x14ac:dyDescent="0.15">
      <c r="A1" s="672" t="s">
        <v>244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M1" s="672"/>
      <c r="N1" s="672"/>
      <c r="O1" s="672"/>
      <c r="P1" s="672"/>
    </row>
    <row r="2" spans="1:16" ht="24" customHeight="1" x14ac:dyDescent="0.15">
      <c r="A2" s="673" t="s">
        <v>220</v>
      </c>
      <c r="B2" s="673"/>
      <c r="C2" s="673"/>
      <c r="D2" s="499"/>
    </row>
    <row r="3" spans="1:16" ht="24" customHeight="1" thickBot="1" x14ac:dyDescent="0.2">
      <c r="F3" s="500" t="s">
        <v>135</v>
      </c>
      <c r="K3" s="500" t="s">
        <v>135</v>
      </c>
    </row>
    <row r="4" spans="1:16" ht="24" customHeight="1" x14ac:dyDescent="0.15">
      <c r="A4" s="501" t="s">
        <v>108</v>
      </c>
      <c r="B4" s="665" t="s">
        <v>136</v>
      </c>
      <c r="C4" s="665"/>
      <c r="D4" s="501" t="s">
        <v>137</v>
      </c>
      <c r="E4" s="502" t="s">
        <v>155</v>
      </c>
      <c r="F4" s="501" t="s">
        <v>139</v>
      </c>
      <c r="H4" s="501" t="s">
        <v>140</v>
      </c>
      <c r="I4" s="501" t="s">
        <v>141</v>
      </c>
      <c r="J4" s="501" t="s">
        <v>142</v>
      </c>
      <c r="K4" s="501" t="s">
        <v>143</v>
      </c>
      <c r="M4" s="503" t="s">
        <v>144</v>
      </c>
    </row>
    <row r="5" spans="1:16" ht="24" customHeight="1" x14ac:dyDescent="0.15">
      <c r="A5" s="674" t="s">
        <v>145</v>
      </c>
      <c r="B5" s="674"/>
      <c r="C5" s="674"/>
      <c r="D5" s="504">
        <f>D6+D7</f>
        <v>1684014804</v>
      </c>
      <c r="E5" s="504">
        <f>E6+E7</f>
        <v>183538398</v>
      </c>
      <c r="F5" s="505">
        <f>F6+F7</f>
        <v>0</v>
      </c>
      <c r="H5" s="506" t="s">
        <v>146</v>
      </c>
      <c r="I5" s="507">
        <f>SUM(I6:I9)</f>
        <v>2406842002</v>
      </c>
      <c r="J5" s="507">
        <f>SUM(J6:J9)</f>
        <v>415381488</v>
      </c>
      <c r="K5" s="507">
        <f>SUM(K6:K9)</f>
        <v>416976037</v>
      </c>
      <c r="M5" s="508">
        <f>SUM(I5,J5)</f>
        <v>2822223490</v>
      </c>
      <c r="O5" s="509"/>
    </row>
    <row r="6" spans="1:16" ht="24" customHeight="1" x14ac:dyDescent="0.15">
      <c r="A6" s="510" t="s">
        <v>147</v>
      </c>
      <c r="B6" s="675" t="s">
        <v>148</v>
      </c>
      <c r="C6" s="675"/>
      <c r="D6" s="511">
        <v>3338881</v>
      </c>
      <c r="E6" s="512"/>
      <c r="F6" s="512"/>
      <c r="H6" s="513" t="s">
        <v>149</v>
      </c>
      <c r="I6" s="514">
        <f>D6</f>
        <v>3338881</v>
      </c>
      <c r="J6" s="514">
        <f>E6</f>
        <v>0</v>
      </c>
      <c r="K6" s="514">
        <f>F6</f>
        <v>0</v>
      </c>
      <c r="M6" s="515">
        <f>SUM(I6,J6)</f>
        <v>3338881</v>
      </c>
      <c r="O6" s="509"/>
    </row>
    <row r="7" spans="1:16" ht="24" customHeight="1" x14ac:dyDescent="0.15">
      <c r="A7" s="674" t="s">
        <v>150</v>
      </c>
      <c r="B7" s="674"/>
      <c r="C7" s="674"/>
      <c r="D7" s="516">
        <f>SUM(D8:D27)</f>
        <v>1680675923</v>
      </c>
      <c r="E7" s="516">
        <f>SUM(E8:E26)</f>
        <v>183538398</v>
      </c>
      <c r="F7" s="516">
        <f>SUM(F8:F27)</f>
        <v>0</v>
      </c>
      <c r="H7" s="513" t="s">
        <v>151</v>
      </c>
      <c r="I7" s="514">
        <f>D9+D10+D11+D12+D15+D18+D25+I16</f>
        <v>563438298</v>
      </c>
      <c r="J7" s="514">
        <f>E9+E10+E11+E12+E15+E18+E25</f>
        <v>25141588</v>
      </c>
      <c r="K7" s="514">
        <f>D31+D39</f>
        <v>382331989</v>
      </c>
      <c r="L7" s="509"/>
      <c r="M7" s="515">
        <f>SUM(I7,J7)</f>
        <v>588579886</v>
      </c>
      <c r="O7" s="509"/>
    </row>
    <row r="8" spans="1:16" ht="24" customHeight="1" x14ac:dyDescent="0.15">
      <c r="A8" s="517" t="s">
        <v>191</v>
      </c>
      <c r="B8" s="518"/>
      <c r="C8" s="519" t="s">
        <v>152</v>
      </c>
      <c r="D8" s="520">
        <v>121515</v>
      </c>
      <c r="E8" s="520"/>
      <c r="F8" s="520"/>
      <c r="H8" s="513" t="s">
        <v>153</v>
      </c>
      <c r="I8" s="514">
        <f>D8+D13+D14+D16+D17+D23+D24+J16</f>
        <v>1458109719</v>
      </c>
      <c r="J8" s="514">
        <f>E8+E13+E14+E16+E17+E23+E24+M16</f>
        <v>21318813</v>
      </c>
      <c r="K8" s="514">
        <f>D29+D32+D33+D34+D35+D40</f>
        <v>25297890</v>
      </c>
      <c r="M8" s="515">
        <f t="shared" ref="M8:M9" si="0">SUM(I8,J8)</f>
        <v>1479428532</v>
      </c>
      <c r="N8" s="509"/>
      <c r="O8" s="509"/>
    </row>
    <row r="9" spans="1:16" ht="24" customHeight="1" thickBot="1" x14ac:dyDescent="0.2">
      <c r="A9" s="521" t="s">
        <v>192</v>
      </c>
      <c r="B9" s="522"/>
      <c r="C9" s="523" t="s">
        <v>193</v>
      </c>
      <c r="D9" s="520">
        <v>57259</v>
      </c>
      <c r="E9" s="520"/>
      <c r="F9" s="520"/>
      <c r="H9" s="668" t="s">
        <v>154</v>
      </c>
      <c r="I9" s="514">
        <f>D19+D20+D21+D22+D26+K16</f>
        <v>381955104</v>
      </c>
      <c r="J9" s="514">
        <f>J10+J11</f>
        <v>368921087</v>
      </c>
      <c r="K9" s="514">
        <f>D30+D36+D37+D38</f>
        <v>9346158</v>
      </c>
      <c r="M9" s="524">
        <f t="shared" si="0"/>
        <v>750876191</v>
      </c>
      <c r="O9" s="509"/>
      <c r="P9" s="509"/>
    </row>
    <row r="10" spans="1:16" ht="24" customHeight="1" x14ac:dyDescent="0.15">
      <c r="A10" s="521" t="s">
        <v>192</v>
      </c>
      <c r="B10" s="525"/>
      <c r="C10" s="526" t="s">
        <v>194</v>
      </c>
      <c r="D10" s="527">
        <v>2515284</v>
      </c>
      <c r="E10" s="520"/>
      <c r="F10" s="520"/>
      <c r="H10" s="668"/>
      <c r="I10" s="528" t="s">
        <v>155</v>
      </c>
      <c r="J10" s="529">
        <f>E19+E20+E21+E22+E26</f>
        <v>138942040</v>
      </c>
      <c r="K10" s="530" t="s">
        <v>156</v>
      </c>
      <c r="P10" s="509"/>
    </row>
    <row r="11" spans="1:16" ht="24" customHeight="1" x14ac:dyDescent="0.15">
      <c r="A11" s="521" t="s">
        <v>192</v>
      </c>
      <c r="B11" s="525"/>
      <c r="C11" s="531" t="s">
        <v>157</v>
      </c>
      <c r="D11" s="527">
        <v>99990</v>
      </c>
      <c r="E11" s="520"/>
      <c r="F11" s="520"/>
      <c r="H11" s="668"/>
      <c r="I11" s="528" t="s">
        <v>158</v>
      </c>
      <c r="J11" s="529">
        <f>K22</f>
        <v>229979047</v>
      </c>
      <c r="K11" s="530" t="s">
        <v>156</v>
      </c>
    </row>
    <row r="12" spans="1:16" ht="24" customHeight="1" x14ac:dyDescent="0.15">
      <c r="A12" s="521" t="s">
        <v>192</v>
      </c>
      <c r="B12" s="532" t="s">
        <v>195</v>
      </c>
      <c r="C12" s="533"/>
      <c r="D12" s="520">
        <v>300806169</v>
      </c>
      <c r="E12" s="520">
        <v>18468190</v>
      </c>
      <c r="F12" s="520"/>
      <c r="I12" s="534" t="s">
        <v>196</v>
      </c>
      <c r="J12" s="509">
        <f>J9-J10-J11</f>
        <v>0</v>
      </c>
      <c r="N12" s="500"/>
      <c r="O12" s="500"/>
      <c r="P12" s="500"/>
    </row>
    <row r="13" spans="1:16" ht="24" customHeight="1" x14ac:dyDescent="0.15">
      <c r="A13" s="517" t="s">
        <v>191</v>
      </c>
      <c r="B13" s="535" t="s">
        <v>195</v>
      </c>
      <c r="C13" s="536"/>
      <c r="D13" s="520">
        <v>11900917</v>
      </c>
      <c r="E13" s="520">
        <v>7496797</v>
      </c>
      <c r="F13" s="520"/>
      <c r="I13" s="534"/>
      <c r="J13" s="509"/>
      <c r="N13" s="500"/>
      <c r="O13" s="500"/>
      <c r="P13" s="500" t="s">
        <v>135</v>
      </c>
    </row>
    <row r="14" spans="1:16" ht="24" customHeight="1" x14ac:dyDescent="0.15">
      <c r="A14" s="517" t="s">
        <v>191</v>
      </c>
      <c r="B14" s="537" t="s">
        <v>197</v>
      </c>
      <c r="C14" s="538"/>
      <c r="D14" s="520">
        <v>48916938</v>
      </c>
      <c r="E14" s="520"/>
      <c r="F14" s="539"/>
      <c r="H14" s="669" t="s">
        <v>159</v>
      </c>
      <c r="I14" s="666" t="s">
        <v>137</v>
      </c>
      <c r="J14" s="671"/>
      <c r="K14" s="667"/>
      <c r="L14" s="666" t="s">
        <v>138</v>
      </c>
      <c r="M14" s="671"/>
      <c r="N14" s="667"/>
      <c r="O14" s="666" t="s">
        <v>160</v>
      </c>
      <c r="P14" s="667"/>
    </row>
    <row r="15" spans="1:16" ht="24" customHeight="1" x14ac:dyDescent="0.15">
      <c r="A15" s="521" t="s">
        <v>192</v>
      </c>
      <c r="B15" s="655" t="s">
        <v>198</v>
      </c>
      <c r="C15" s="655"/>
      <c r="D15" s="520">
        <v>133745115</v>
      </c>
      <c r="E15" s="520">
        <v>2322278</v>
      </c>
      <c r="F15" s="520"/>
      <c r="H15" s="670"/>
      <c r="I15" s="501" t="s">
        <v>151</v>
      </c>
      <c r="J15" s="501" t="s">
        <v>153</v>
      </c>
      <c r="K15" s="501" t="s">
        <v>154</v>
      </c>
      <c r="L15" s="501" t="s">
        <v>151</v>
      </c>
      <c r="M15" s="501" t="s">
        <v>153</v>
      </c>
      <c r="N15" s="501" t="s">
        <v>154</v>
      </c>
      <c r="O15" s="501" t="s">
        <v>137</v>
      </c>
      <c r="P15" s="501" t="s">
        <v>138</v>
      </c>
    </row>
    <row r="16" spans="1:16" ht="24" customHeight="1" x14ac:dyDescent="0.15">
      <c r="A16" s="517" t="s">
        <v>191</v>
      </c>
      <c r="B16" s="662" t="s">
        <v>198</v>
      </c>
      <c r="C16" s="662"/>
      <c r="D16" s="520">
        <v>1978868</v>
      </c>
      <c r="E16" s="520"/>
      <c r="F16" s="520"/>
      <c r="H16" s="540" t="s">
        <v>161</v>
      </c>
      <c r="I16" s="516">
        <f t="shared" ref="I16:N16" si="1">SUM(I17:I28)</f>
        <v>8562292</v>
      </c>
      <c r="J16" s="516">
        <f t="shared" si="1"/>
        <v>689733697</v>
      </c>
      <c r="K16" s="516">
        <f>SUM(K17:K19)</f>
        <v>24531209</v>
      </c>
      <c r="L16" s="516">
        <f t="shared" si="1"/>
        <v>0</v>
      </c>
      <c r="M16" s="516">
        <f t="shared" si="1"/>
        <v>1864043</v>
      </c>
      <c r="N16" s="516">
        <f t="shared" si="1"/>
        <v>0</v>
      </c>
      <c r="O16" s="541">
        <f>SUM(I16:K16)</f>
        <v>722827198</v>
      </c>
      <c r="P16" s="541">
        <f>SUM(L16:N16)</f>
        <v>1864043</v>
      </c>
    </row>
    <row r="17" spans="1:16" ht="24" customHeight="1" x14ac:dyDescent="0.15">
      <c r="A17" s="517" t="s">
        <v>191</v>
      </c>
      <c r="B17" s="662" t="s">
        <v>199</v>
      </c>
      <c r="C17" s="662"/>
      <c r="D17" s="520">
        <v>592477358</v>
      </c>
      <c r="E17" s="520">
        <v>11703162</v>
      </c>
      <c r="F17" s="520"/>
      <c r="H17" s="542" t="s">
        <v>162</v>
      </c>
      <c r="I17" s="543">
        <v>3546881</v>
      </c>
      <c r="J17" s="543">
        <v>317183233</v>
      </c>
      <c r="K17" s="511">
        <v>10994368</v>
      </c>
      <c r="L17" s="511"/>
      <c r="M17" s="511">
        <v>876346</v>
      </c>
      <c r="N17" s="511"/>
      <c r="O17" s="544">
        <f>SUM(I17:K17)</f>
        <v>331724482</v>
      </c>
      <c r="P17" s="544">
        <f>SUM(L17:N17)</f>
        <v>876346</v>
      </c>
    </row>
    <row r="18" spans="1:16" ht="24" customHeight="1" x14ac:dyDescent="0.15">
      <c r="A18" s="521" t="s">
        <v>192</v>
      </c>
      <c r="B18" s="655" t="s">
        <v>200</v>
      </c>
      <c r="C18" s="655"/>
      <c r="D18" s="520">
        <v>57707736</v>
      </c>
      <c r="E18" s="520">
        <v>4351120</v>
      </c>
      <c r="F18" s="520"/>
      <c r="H18" s="542" t="s">
        <v>163</v>
      </c>
      <c r="I18" s="543">
        <v>2773204</v>
      </c>
      <c r="J18" s="543">
        <v>207335495</v>
      </c>
      <c r="K18" s="545">
        <v>6252106</v>
      </c>
      <c r="L18" s="511"/>
      <c r="M18" s="511">
        <v>553651</v>
      </c>
      <c r="N18" s="511"/>
      <c r="O18" s="544">
        <f t="shared" ref="O18:O19" si="2">SUM(I18:K18)</f>
        <v>216360805</v>
      </c>
      <c r="P18" s="544">
        <f t="shared" ref="P18:P19" si="3">SUM(L18:N18)</f>
        <v>553651</v>
      </c>
    </row>
    <row r="19" spans="1:16" ht="24" customHeight="1" x14ac:dyDescent="0.15">
      <c r="A19" s="546" t="s">
        <v>201</v>
      </c>
      <c r="B19" s="656" t="s">
        <v>202</v>
      </c>
      <c r="C19" s="656"/>
      <c r="D19" s="520">
        <v>7957054</v>
      </c>
      <c r="E19" s="520">
        <v>16427405</v>
      </c>
      <c r="F19" s="520"/>
      <c r="H19" s="542" t="s">
        <v>164</v>
      </c>
      <c r="I19" s="543">
        <v>2242207</v>
      </c>
      <c r="J19" s="543">
        <v>165214969</v>
      </c>
      <c r="K19" s="545">
        <v>7284735</v>
      </c>
      <c r="L19" s="511"/>
      <c r="M19" s="511">
        <v>434046</v>
      </c>
      <c r="N19" s="511"/>
      <c r="O19" s="544">
        <f t="shared" si="2"/>
        <v>174741911</v>
      </c>
      <c r="P19" s="544">
        <f t="shared" si="3"/>
        <v>434046</v>
      </c>
    </row>
    <row r="20" spans="1:16" ht="24" customHeight="1" x14ac:dyDescent="0.15">
      <c r="A20" s="546" t="s">
        <v>201</v>
      </c>
      <c r="B20" s="656" t="s">
        <v>203</v>
      </c>
      <c r="C20" s="656"/>
      <c r="D20" s="520">
        <v>65345251</v>
      </c>
      <c r="E20" s="520">
        <v>13317594</v>
      </c>
      <c r="F20" s="539"/>
      <c r="H20" s="547"/>
      <c r="I20" s="548"/>
      <c r="J20" s="548"/>
      <c r="K20" s="548"/>
      <c r="L20" s="549"/>
      <c r="M20" s="549"/>
      <c r="N20" s="549"/>
      <c r="O20" s="550"/>
      <c r="P20" s="550"/>
    </row>
    <row r="21" spans="1:16" ht="24" customHeight="1" x14ac:dyDescent="0.15">
      <c r="A21" s="546" t="s">
        <v>201</v>
      </c>
      <c r="B21" s="656" t="s">
        <v>204</v>
      </c>
      <c r="C21" s="656"/>
      <c r="D21" s="520">
        <v>145197451</v>
      </c>
      <c r="E21" s="520">
        <v>99158886</v>
      </c>
      <c r="F21" s="520"/>
    </row>
    <row r="22" spans="1:16" ht="24" customHeight="1" x14ac:dyDescent="0.15">
      <c r="A22" s="546" t="s">
        <v>201</v>
      </c>
      <c r="B22" s="656" t="s">
        <v>205</v>
      </c>
      <c r="C22" s="656"/>
      <c r="D22" s="520">
        <v>117832196</v>
      </c>
      <c r="E22" s="520">
        <v>9928554</v>
      </c>
      <c r="F22" s="539"/>
      <c r="I22" s="660" t="s">
        <v>206</v>
      </c>
      <c r="J22" s="661"/>
      <c r="K22" s="551">
        <f>SUM(K23:K26)</f>
        <v>229979047</v>
      </c>
    </row>
    <row r="23" spans="1:16" ht="24" customHeight="1" x14ac:dyDescent="0.15">
      <c r="A23" s="517" t="s">
        <v>191</v>
      </c>
      <c r="B23" s="662" t="s">
        <v>207</v>
      </c>
      <c r="C23" s="662"/>
      <c r="D23" s="520">
        <v>57564767</v>
      </c>
      <c r="E23" s="520">
        <v>254811</v>
      </c>
      <c r="F23" s="520"/>
      <c r="I23" s="663" t="s">
        <v>166</v>
      </c>
      <c r="J23" s="552" t="s">
        <v>208</v>
      </c>
      <c r="K23" s="543">
        <v>26000150</v>
      </c>
    </row>
    <row r="24" spans="1:16" ht="24" customHeight="1" x14ac:dyDescent="0.15">
      <c r="A24" s="517" t="s">
        <v>191</v>
      </c>
      <c r="B24" s="662" t="s">
        <v>165</v>
      </c>
      <c r="C24" s="662"/>
      <c r="D24" s="520">
        <v>55415659</v>
      </c>
      <c r="E24" s="520"/>
      <c r="F24" s="520"/>
      <c r="I24" s="663"/>
      <c r="J24" s="552" t="s">
        <v>209</v>
      </c>
      <c r="K24" s="543">
        <v>48473252</v>
      </c>
    </row>
    <row r="25" spans="1:16" ht="24" customHeight="1" x14ac:dyDescent="0.15">
      <c r="A25" s="521" t="s">
        <v>192</v>
      </c>
      <c r="B25" s="655" t="s">
        <v>210</v>
      </c>
      <c r="C25" s="655"/>
      <c r="D25" s="520">
        <v>59944453</v>
      </c>
      <c r="E25" s="520"/>
      <c r="F25" s="520"/>
      <c r="I25" s="663"/>
      <c r="J25" s="552" t="s">
        <v>211</v>
      </c>
      <c r="K25" s="511">
        <v>22091180</v>
      </c>
    </row>
    <row r="26" spans="1:16" ht="24" customHeight="1" x14ac:dyDescent="0.15">
      <c r="A26" s="546" t="s">
        <v>201</v>
      </c>
      <c r="B26" s="656" t="s">
        <v>210</v>
      </c>
      <c r="C26" s="656"/>
      <c r="D26" s="520">
        <v>21091943</v>
      </c>
      <c r="E26" s="520">
        <v>109601</v>
      </c>
      <c r="F26" s="520"/>
      <c r="I26" s="552" t="s">
        <v>167</v>
      </c>
      <c r="J26" s="552" t="s">
        <v>212</v>
      </c>
      <c r="K26" s="511">
        <v>133414465</v>
      </c>
    </row>
    <row r="27" spans="1:16" ht="24" customHeight="1" x14ac:dyDescent="0.15">
      <c r="B27" s="664"/>
      <c r="C27" s="664"/>
    </row>
    <row r="28" spans="1:16" ht="24" customHeight="1" x14ac:dyDescent="0.15">
      <c r="A28" s="501" t="s">
        <v>108</v>
      </c>
      <c r="B28" s="665" t="s">
        <v>109</v>
      </c>
      <c r="C28" s="665"/>
      <c r="D28" s="501" t="s">
        <v>110</v>
      </c>
      <c r="E28" s="666" t="s">
        <v>111</v>
      </c>
      <c r="F28" s="667"/>
    </row>
    <row r="29" spans="1:16" ht="24" customHeight="1" x14ac:dyDescent="0.15">
      <c r="A29" s="517" t="s">
        <v>112</v>
      </c>
      <c r="B29" s="553" t="s">
        <v>113</v>
      </c>
      <c r="C29" s="553"/>
      <c r="D29" s="539">
        <v>14394142</v>
      </c>
      <c r="E29" s="554" t="s">
        <v>197</v>
      </c>
      <c r="F29" s="554" t="s">
        <v>213</v>
      </c>
    </row>
    <row r="30" spans="1:16" ht="24.75" customHeight="1" x14ac:dyDescent="0.15">
      <c r="A30" s="546" t="s">
        <v>114</v>
      </c>
      <c r="B30" s="656" t="s">
        <v>115</v>
      </c>
      <c r="C30" s="656"/>
      <c r="D30" s="539">
        <v>54942</v>
      </c>
      <c r="E30" s="555" t="s">
        <v>202</v>
      </c>
      <c r="F30" s="555" t="s">
        <v>116</v>
      </c>
      <c r="H30" s="658"/>
      <c r="I30" s="659"/>
      <c r="J30" s="659"/>
      <c r="K30" s="659"/>
      <c r="L30" s="659"/>
    </row>
    <row r="31" spans="1:16" ht="24.75" customHeight="1" x14ac:dyDescent="0.15">
      <c r="A31" s="521" t="s">
        <v>117</v>
      </c>
      <c r="B31" s="655" t="s">
        <v>118</v>
      </c>
      <c r="C31" s="655"/>
      <c r="D31" s="539">
        <v>5094901</v>
      </c>
      <c r="E31" s="556" t="s">
        <v>198</v>
      </c>
      <c r="F31" s="556" t="s">
        <v>214</v>
      </c>
    </row>
    <row r="32" spans="1:16" ht="24.75" customHeight="1" x14ac:dyDescent="0.15">
      <c r="A32" s="517" t="s">
        <v>112</v>
      </c>
      <c r="B32" s="553" t="s">
        <v>119</v>
      </c>
      <c r="C32" s="553"/>
      <c r="D32" s="539">
        <v>2192633</v>
      </c>
      <c r="E32" s="554" t="s">
        <v>199</v>
      </c>
      <c r="F32" s="554" t="s">
        <v>120</v>
      </c>
    </row>
    <row r="33" spans="1:6" ht="24.75" customHeight="1" x14ac:dyDescent="0.15">
      <c r="A33" s="517" t="s">
        <v>112</v>
      </c>
      <c r="B33" s="553" t="s">
        <v>121</v>
      </c>
      <c r="C33" s="553"/>
      <c r="D33" s="539">
        <v>2891202</v>
      </c>
      <c r="E33" s="554" t="s">
        <v>199</v>
      </c>
      <c r="F33" s="554" t="s">
        <v>215</v>
      </c>
    </row>
    <row r="34" spans="1:6" ht="24.75" customHeight="1" x14ac:dyDescent="0.15">
      <c r="A34" s="517" t="s">
        <v>112</v>
      </c>
      <c r="B34" s="553" t="s">
        <v>122</v>
      </c>
      <c r="C34" s="553"/>
      <c r="D34" s="539">
        <v>5226479</v>
      </c>
      <c r="E34" s="554" t="s">
        <v>199</v>
      </c>
      <c r="F34" s="554" t="s">
        <v>123</v>
      </c>
    </row>
    <row r="35" spans="1:6" ht="24.75" customHeight="1" x14ac:dyDescent="0.15">
      <c r="A35" s="517" t="s">
        <v>112</v>
      </c>
      <c r="B35" s="553" t="s">
        <v>124</v>
      </c>
      <c r="C35" s="553"/>
      <c r="D35" s="539">
        <v>195189</v>
      </c>
      <c r="E35" s="554" t="s">
        <v>198</v>
      </c>
      <c r="F35" s="554" t="s">
        <v>125</v>
      </c>
    </row>
    <row r="36" spans="1:6" ht="24.75" customHeight="1" x14ac:dyDescent="0.15">
      <c r="A36" s="546" t="s">
        <v>114</v>
      </c>
      <c r="B36" s="656" t="s">
        <v>126</v>
      </c>
      <c r="C36" s="656"/>
      <c r="D36" s="539">
        <v>6610551</v>
      </c>
      <c r="E36" s="555" t="s">
        <v>203</v>
      </c>
      <c r="F36" s="557" t="s">
        <v>216</v>
      </c>
    </row>
    <row r="37" spans="1:6" ht="31.5" customHeight="1" x14ac:dyDescent="0.15">
      <c r="A37" s="546" t="s">
        <v>114</v>
      </c>
      <c r="B37" s="657" t="s">
        <v>127</v>
      </c>
      <c r="C37" s="656"/>
      <c r="D37" s="539">
        <v>1104732</v>
      </c>
      <c r="E37" s="555" t="s">
        <v>205</v>
      </c>
      <c r="F37" s="555" t="s">
        <v>128</v>
      </c>
    </row>
    <row r="38" spans="1:6" ht="24.75" customHeight="1" x14ac:dyDescent="0.15">
      <c r="A38" s="546" t="s">
        <v>114</v>
      </c>
      <c r="B38" s="656" t="s">
        <v>129</v>
      </c>
      <c r="C38" s="656"/>
      <c r="D38" s="539">
        <v>1575933</v>
      </c>
      <c r="E38" s="555" t="s">
        <v>202</v>
      </c>
      <c r="F38" s="555" t="s">
        <v>130</v>
      </c>
    </row>
    <row r="39" spans="1:6" ht="33" customHeight="1" x14ac:dyDescent="0.15">
      <c r="A39" s="521" t="s">
        <v>117</v>
      </c>
      <c r="B39" s="655" t="s">
        <v>131</v>
      </c>
      <c r="C39" s="655"/>
      <c r="D39" s="558">
        <v>377237088</v>
      </c>
      <c r="E39" s="556" t="s">
        <v>217</v>
      </c>
      <c r="F39" s="556" t="s">
        <v>132</v>
      </c>
    </row>
    <row r="40" spans="1:6" ht="24.75" customHeight="1" x14ac:dyDescent="0.15">
      <c r="A40" s="517" t="s">
        <v>112</v>
      </c>
      <c r="B40" s="553" t="s">
        <v>133</v>
      </c>
      <c r="C40" s="553"/>
      <c r="D40" s="539">
        <v>398245</v>
      </c>
      <c r="E40" s="554" t="s">
        <v>197</v>
      </c>
      <c r="F40" s="554" t="s">
        <v>134</v>
      </c>
    </row>
    <row r="41" spans="1:6" ht="24.75" customHeight="1" x14ac:dyDescent="0.15">
      <c r="D41" s="509"/>
    </row>
  </sheetData>
  <mergeCells count="35">
    <mergeCell ref="O14:P14"/>
    <mergeCell ref="B15:C15"/>
    <mergeCell ref="A1:P1"/>
    <mergeCell ref="A2:C2"/>
    <mergeCell ref="B4:C4"/>
    <mergeCell ref="A5:C5"/>
    <mergeCell ref="B6:C6"/>
    <mergeCell ref="A7:C7"/>
    <mergeCell ref="B21:C21"/>
    <mergeCell ref="H9:H11"/>
    <mergeCell ref="H14:H15"/>
    <mergeCell ref="I14:K14"/>
    <mergeCell ref="L14:N14"/>
    <mergeCell ref="B16:C16"/>
    <mergeCell ref="B17:C17"/>
    <mergeCell ref="B18:C18"/>
    <mergeCell ref="B19:C19"/>
    <mergeCell ref="B20:C20"/>
    <mergeCell ref="H30:L30"/>
    <mergeCell ref="B22:C22"/>
    <mergeCell ref="I22:J22"/>
    <mergeCell ref="B23:C23"/>
    <mergeCell ref="I23:I25"/>
    <mergeCell ref="B24:C24"/>
    <mergeCell ref="B25:C25"/>
    <mergeCell ref="B26:C26"/>
    <mergeCell ref="B27:C27"/>
    <mergeCell ref="B28:C28"/>
    <mergeCell ref="E28:F28"/>
    <mergeCell ref="B30:C30"/>
    <mergeCell ref="B31:C31"/>
    <mergeCell ref="B36:C36"/>
    <mergeCell ref="B37:C37"/>
    <mergeCell ref="B38:C38"/>
    <mergeCell ref="B39:C39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5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28</vt:i4>
      </vt:variant>
      <vt:variant>
        <vt:lpstr>이름 지정된 범위</vt:lpstr>
      </vt:variant>
      <vt:variant>
        <vt:i4>33</vt:i4>
      </vt:variant>
    </vt:vector>
  </HeadingPairs>
  <TitlesOfParts>
    <vt:vector size="61" baseType="lpstr">
      <vt:lpstr>(입력금지)총괄</vt:lpstr>
      <vt:lpstr>(입력금지)상임위별 종합심사결과(총괄)</vt:lpstr>
      <vt:lpstr>재정문화(기타특별-공유재산관리)</vt:lpstr>
      <vt:lpstr>재정문화세출(특별회계)</vt:lpstr>
      <vt:lpstr>행정복지(특별회계-상수도)</vt:lpstr>
      <vt:lpstr>행정복지(특별회계-하수도)</vt:lpstr>
      <vt:lpstr>행정복지(기타특별-공유재산관리)</vt:lpstr>
      <vt:lpstr>행정복지(기타특별-의료급여기금)</vt:lpstr>
      <vt:lpstr>행정복지(기타특별-기초생활보장</vt:lpstr>
      <vt:lpstr>(입력금지)상임위별 예비심사결과(총괄)</vt:lpstr>
      <vt:lpstr>1 일반회계(세입)</vt:lpstr>
      <vt:lpstr>2 일반회계(세출)</vt:lpstr>
      <vt:lpstr>행정복지세출(특별회계)</vt:lpstr>
      <vt:lpstr>도시교통(일반회계)</vt:lpstr>
      <vt:lpstr>도시교통(기타득별-공유재산관리)</vt:lpstr>
      <vt:lpstr>도시교통(기타득별-장기미집행)</vt:lpstr>
      <vt:lpstr>도시교통(기타득별-교통사업)</vt:lpstr>
      <vt:lpstr>도시교통(기타특별-철도건설)</vt:lpstr>
      <vt:lpstr>도시교통(기타득별-폐기물처리시설</vt:lpstr>
      <vt:lpstr>도시교통(기타득별-도시재정비)</vt:lpstr>
      <vt:lpstr>도시교통(기타득별-도시개발)</vt:lpstr>
      <vt:lpstr>도시교통(기타득별-기반시설)</vt:lpstr>
      <vt:lpstr>3 기타특별회계(세입)</vt:lpstr>
      <vt:lpstr>4 기타특별회계(세출)</vt:lpstr>
      <vt:lpstr>5 공기업특별회계(세입)</vt:lpstr>
      <vt:lpstr>6 공기업특별회계(세출)</vt:lpstr>
      <vt:lpstr>8 2026년 기금운영변경계획안</vt:lpstr>
      <vt:lpstr>2026 제2회 추경</vt:lpstr>
      <vt:lpstr>'(입력금지)상임위별 예비심사결과(총괄)'!Print_Area</vt:lpstr>
      <vt:lpstr>'(입력금지)상임위별 종합심사결과(총괄)'!Print_Area</vt:lpstr>
      <vt:lpstr>'(입력금지)총괄'!Print_Area</vt:lpstr>
      <vt:lpstr>'1 일반회계(세입)'!Print_Area</vt:lpstr>
      <vt:lpstr>'2 일반회계(세출)'!Print_Area</vt:lpstr>
      <vt:lpstr>'3 기타특별회계(세입)'!Print_Area</vt:lpstr>
      <vt:lpstr>'4 기타특별회계(세출)'!Print_Area</vt:lpstr>
      <vt:lpstr>'5 공기업특별회계(세입)'!Print_Area</vt:lpstr>
      <vt:lpstr>'6 공기업특별회계(세출)'!Print_Area</vt:lpstr>
      <vt:lpstr>'8 2026년 기금운영변경계획안'!Print_Area</vt:lpstr>
      <vt:lpstr>'1 일반회계(세입)'!Print_Titles</vt:lpstr>
      <vt:lpstr>'2 일반회계(세출)'!Print_Titles</vt:lpstr>
      <vt:lpstr>'3 기타특별회계(세입)'!Print_Titles</vt:lpstr>
      <vt:lpstr>'4 기타특별회계(세출)'!Print_Titles</vt:lpstr>
      <vt:lpstr>'5 공기업특별회계(세입)'!Print_Titles</vt:lpstr>
      <vt:lpstr>'6 공기업특별회계(세출)'!Print_Titles</vt:lpstr>
      <vt:lpstr>'8 2026년 기금운영변경계획안'!Print_Titles</vt:lpstr>
      <vt:lpstr>'도시교통(기타득별-공유재산관리)'!Print_Titles</vt:lpstr>
      <vt:lpstr>'도시교통(기타득별-교통사업)'!Print_Titles</vt:lpstr>
      <vt:lpstr>'도시교통(기타득별-기반시설)'!Print_Titles</vt:lpstr>
      <vt:lpstr>'도시교통(기타득별-도시개발)'!Print_Titles</vt:lpstr>
      <vt:lpstr>'도시교통(기타득별-도시재정비)'!Print_Titles</vt:lpstr>
      <vt:lpstr>'도시교통(기타득별-장기미집행)'!Print_Titles</vt:lpstr>
      <vt:lpstr>'도시교통(기타득별-폐기물처리시설'!Print_Titles</vt:lpstr>
      <vt:lpstr>'도시교통(기타특별-철도건설)'!Print_Titles</vt:lpstr>
      <vt:lpstr>'도시교통(일반회계)'!Print_Titles</vt:lpstr>
      <vt:lpstr>'재정문화(기타특별-공유재산관리)'!Print_Titles</vt:lpstr>
      <vt:lpstr>'재정문화세출(특별회계)'!Print_Titles</vt:lpstr>
      <vt:lpstr>'행정복지(기타특별-공유재산관리)'!Print_Titles</vt:lpstr>
      <vt:lpstr>'행정복지(기타특별-기초생활보장'!Print_Titles</vt:lpstr>
      <vt:lpstr>'행정복지(기타특별-의료급여기금)'!Print_Titles</vt:lpstr>
      <vt:lpstr>'행정복지(특별회계-상수도)'!Print_Titles</vt:lpstr>
      <vt:lpstr>'행정복지(특별회계-하수도)'!Print_Titles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노병희</dc:creator>
  <cp:lastModifiedBy>user</cp:lastModifiedBy>
  <cp:lastPrinted>2025-12-04T09:43:12Z</cp:lastPrinted>
  <dcterms:created xsi:type="dcterms:W3CDTF">1997-01-10T04:21:27Z</dcterms:created>
  <dcterms:modified xsi:type="dcterms:W3CDTF">2026-09-03T07:48:34Z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